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51C7C7-1D90-41BF-A658-AD963D4AF1CB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산출내역서" sheetId="21" r:id="rId1"/>
    <sheet name="산출내역서(낙찰률 적용)" sheetId="20" state="hidden" r:id="rId2"/>
    <sheet name="근무일수" sheetId="7" r:id="rId3"/>
  </sheets>
  <definedNames>
    <definedName name="_xlnm.Print_Area" localSheetId="0">산출내역서!$A$1:$Q$32</definedName>
    <definedName name="_xlnm.Print_Area" localSheetId="1">'산출내역서(낙찰률 적용)'!$A$1:$Q$32</definedName>
  </definedNames>
  <calcPr calcId="191029"/>
</workbook>
</file>

<file path=xl/calcChain.xml><?xml version="1.0" encoding="utf-8"?>
<calcChain xmlns="http://schemas.openxmlformats.org/spreadsheetml/2006/main">
  <c r="K14" i="20" l="1"/>
  <c r="J14" i="20"/>
  <c r="I14" i="20"/>
  <c r="H14" i="20"/>
  <c r="K14" i="21"/>
  <c r="J14" i="21"/>
  <c r="I14" i="21"/>
  <c r="H14" i="21"/>
  <c r="J6" i="20"/>
  <c r="J6" i="21"/>
  <c r="I6" i="20" l="1"/>
  <c r="I6" i="21"/>
  <c r="F15" i="7"/>
  <c r="E15" i="7"/>
  <c r="B15" i="7"/>
  <c r="T5" i="20" l="1"/>
  <c r="V12" i="20"/>
  <c r="U12" i="20"/>
  <c r="H15" i="20" l="1"/>
  <c r="H16" i="20"/>
  <c r="S6" i="20"/>
  <c r="T6" i="20"/>
  <c r="T7" i="20" s="1"/>
  <c r="S5" i="20"/>
  <c r="C8" i="7" l="1"/>
  <c r="C7" i="7" l="1"/>
  <c r="H22" i="21"/>
  <c r="H20" i="20" l="1"/>
  <c r="K20" i="21"/>
  <c r="J20" i="21"/>
  <c r="I20" i="21"/>
  <c r="H20" i="21"/>
  <c r="K20" i="20"/>
  <c r="J20" i="20"/>
  <c r="I20" i="20"/>
  <c r="I52" i="21" l="1"/>
  <c r="H6" i="21"/>
  <c r="F12" i="7"/>
  <c r="E12" i="7"/>
  <c r="J7" i="20" l="1"/>
  <c r="J8" i="20" s="1"/>
  <c r="I7" i="21"/>
  <c r="I23" i="21" s="1"/>
  <c r="H7" i="21"/>
  <c r="H23" i="21" s="1"/>
  <c r="K21" i="20"/>
  <c r="K21" i="21"/>
  <c r="J23" i="20" l="1"/>
  <c r="I8" i="21"/>
  <c r="H8" i="21"/>
  <c r="L26" i="21"/>
  <c r="L28" i="21" s="1"/>
  <c r="M26" i="21"/>
  <c r="M28" i="21" s="1"/>
  <c r="N26" i="21"/>
  <c r="N28" i="21" s="1"/>
  <c r="O26" i="21"/>
  <c r="O28" i="21" s="1"/>
  <c r="P26" i="21"/>
  <c r="P28" i="21" s="1"/>
  <c r="J22" i="21"/>
  <c r="I22" i="21"/>
  <c r="P13" i="21"/>
  <c r="O13" i="21"/>
  <c r="N13" i="21"/>
  <c r="M13" i="21"/>
  <c r="L13" i="21"/>
  <c r="K5" i="21"/>
  <c r="P28" i="20"/>
  <c r="O28" i="20"/>
  <c r="N28" i="20"/>
  <c r="M28" i="20"/>
  <c r="L28" i="20"/>
  <c r="J22" i="20"/>
  <c r="I22" i="20"/>
  <c r="H22" i="20"/>
  <c r="P13" i="20"/>
  <c r="O13" i="20"/>
  <c r="N13" i="20"/>
  <c r="M13" i="20"/>
  <c r="L13" i="20"/>
  <c r="H6" i="20"/>
  <c r="K5" i="20"/>
  <c r="E14" i="7"/>
  <c r="I7" i="20" l="1"/>
  <c r="I23" i="20" s="1"/>
  <c r="H7" i="20"/>
  <c r="J7" i="21"/>
  <c r="J23" i="21" s="1"/>
  <c r="K23" i="21" s="1"/>
  <c r="K22" i="21"/>
  <c r="K22" i="20"/>
  <c r="J9" i="20"/>
  <c r="H9" i="21"/>
  <c r="K6" i="21"/>
  <c r="K6" i="20"/>
  <c r="E13" i="7"/>
  <c r="F13" i="7" s="1"/>
  <c r="J15" i="20" l="1"/>
  <c r="J12" i="20"/>
  <c r="J16" i="20" s="1"/>
  <c r="K7" i="20"/>
  <c r="I8" i="20"/>
  <c r="I9" i="20" s="1"/>
  <c r="H12" i="21"/>
  <c r="H16" i="21" s="1"/>
  <c r="H15" i="21"/>
  <c r="J10" i="20"/>
  <c r="J11" i="20" s="1"/>
  <c r="J17" i="20"/>
  <c r="H8" i="20"/>
  <c r="H9" i="20" s="1"/>
  <c r="H23" i="20"/>
  <c r="J8" i="21"/>
  <c r="J9" i="21" s="1"/>
  <c r="H17" i="21"/>
  <c r="H10" i="21"/>
  <c r="H11" i="21" s="1"/>
  <c r="K7" i="21"/>
  <c r="H18" i="21"/>
  <c r="H13" i="21"/>
  <c r="I9" i="21"/>
  <c r="J13" i="20"/>
  <c r="J18" i="20"/>
  <c r="I15" i="20" l="1"/>
  <c r="I12" i="20"/>
  <c r="I16" i="20" s="1"/>
  <c r="I12" i="21"/>
  <c r="I16" i="21" s="1"/>
  <c r="H12" i="20"/>
  <c r="H17" i="20"/>
  <c r="H13" i="20"/>
  <c r="J15" i="21"/>
  <c r="J12" i="21"/>
  <c r="J16" i="21" s="1"/>
  <c r="I10" i="21"/>
  <c r="I11" i="21" s="1"/>
  <c r="I15" i="21"/>
  <c r="J10" i="21"/>
  <c r="J11" i="21" s="1"/>
  <c r="I10" i="20"/>
  <c r="I11" i="20" s="1"/>
  <c r="H18" i="20"/>
  <c r="H10" i="20"/>
  <c r="K10" i="20" s="1"/>
  <c r="I13" i="20"/>
  <c r="I18" i="20"/>
  <c r="I17" i="20"/>
  <c r="K8" i="20"/>
  <c r="K9" i="20" s="1"/>
  <c r="K23" i="20"/>
  <c r="I13" i="21"/>
  <c r="I18" i="21"/>
  <c r="I17" i="21"/>
  <c r="J13" i="21"/>
  <c r="J17" i="21"/>
  <c r="J18" i="21"/>
  <c r="H19" i="21"/>
  <c r="H24" i="21" s="1"/>
  <c r="H25" i="21" s="1"/>
  <c r="H26" i="21" s="1"/>
  <c r="K8" i="21"/>
  <c r="K9" i="21" s="1"/>
  <c r="J19" i="20"/>
  <c r="J24" i="20" s="1"/>
  <c r="J25" i="20" s="1"/>
  <c r="J26" i="20" s="1"/>
  <c r="K15" i="21" l="1"/>
  <c r="S15" i="21" s="1"/>
  <c r="K12" i="21"/>
  <c r="S14" i="21"/>
  <c r="S14" i="20"/>
  <c r="T14" i="20" s="1"/>
  <c r="K12" i="20"/>
  <c r="K16" i="20" s="1"/>
  <c r="S16" i="20" s="1"/>
  <c r="T16" i="20" s="1"/>
  <c r="K15" i="20"/>
  <c r="S15" i="20" s="1"/>
  <c r="T15" i="20" s="1"/>
  <c r="H19" i="20"/>
  <c r="H24" i="20" s="1"/>
  <c r="H25" i="20" s="1"/>
  <c r="H26" i="20" s="1"/>
  <c r="H11" i="20"/>
  <c r="K18" i="20"/>
  <c r="S18" i="20" s="1"/>
  <c r="T18" i="20" s="1"/>
  <c r="K17" i="20"/>
  <c r="S17" i="20" s="1"/>
  <c r="T17" i="20" s="1"/>
  <c r="I19" i="20"/>
  <c r="I24" i="20" s="1"/>
  <c r="I25" i="20" s="1"/>
  <c r="K13" i="20"/>
  <c r="S13" i="20" s="1"/>
  <c r="T13" i="20" s="1"/>
  <c r="H27" i="21"/>
  <c r="H28" i="21" s="1"/>
  <c r="K10" i="21"/>
  <c r="K11" i="21" s="1"/>
  <c r="K18" i="21"/>
  <c r="S18" i="21" s="1"/>
  <c r="K13" i="21"/>
  <c r="S13" i="21" s="1"/>
  <c r="T13" i="21" s="1"/>
  <c r="K17" i="21"/>
  <c r="S17" i="21" s="1"/>
  <c r="I19" i="21"/>
  <c r="I24" i="21" s="1"/>
  <c r="J19" i="21"/>
  <c r="J24" i="21" s="1"/>
  <c r="J25" i="21" s="1"/>
  <c r="J26" i="21" s="1"/>
  <c r="J27" i="20"/>
  <c r="J28" i="20" s="1"/>
  <c r="I26" i="20" l="1"/>
  <c r="I27" i="20" s="1"/>
  <c r="I28" i="20" s="1"/>
  <c r="I29" i="20" s="1"/>
  <c r="I30" i="20" s="1"/>
  <c r="I31" i="20" s="1"/>
  <c r="I32" i="20" s="1"/>
  <c r="S12" i="20"/>
  <c r="T12" i="20" s="1"/>
  <c r="K16" i="21"/>
  <c r="S16" i="21" s="1"/>
  <c r="T16" i="21" s="1"/>
  <c r="S12" i="21"/>
  <c r="T12" i="21" s="1"/>
  <c r="H27" i="20"/>
  <c r="H28" i="20" s="1"/>
  <c r="K11" i="20"/>
  <c r="K24" i="20"/>
  <c r="H29" i="21"/>
  <c r="H30" i="21" s="1"/>
  <c r="H31" i="21" s="1"/>
  <c r="H32" i="21" s="1"/>
  <c r="J27" i="21"/>
  <c r="I25" i="21"/>
  <c r="I26" i="21" s="1"/>
  <c r="K24" i="21"/>
  <c r="K25" i="21" s="1"/>
  <c r="K26" i="21" s="1"/>
  <c r="J29" i="20"/>
  <c r="J30" i="20" s="1"/>
  <c r="J31" i="20" s="1"/>
  <c r="J32" i="20" s="1"/>
  <c r="H29" i="20" l="1"/>
  <c r="H30" i="20" s="1"/>
  <c r="K25" i="20"/>
  <c r="K19" i="20"/>
  <c r="J28" i="21"/>
  <c r="K19" i="21"/>
  <c r="K26" i="20" l="1"/>
  <c r="K27" i="20" s="1"/>
  <c r="K28" i="20" s="1"/>
  <c r="K29" i="20" s="1"/>
  <c r="K30" i="20" s="1"/>
  <c r="K31" i="20" s="1"/>
  <c r="K32" i="20" s="1"/>
  <c r="Q32" i="20" s="1"/>
  <c r="H31" i="20"/>
  <c r="H32" i="20" s="1"/>
  <c r="J29" i="21"/>
  <c r="J30" i="21" s="1"/>
  <c r="J31" i="21" s="1"/>
  <c r="J32" i="21" s="1"/>
  <c r="K27" i="21"/>
  <c r="K28" i="21" s="1"/>
  <c r="I27" i="21"/>
  <c r="I28" i="21" s="1"/>
  <c r="I29" i="21" l="1"/>
  <c r="I30" i="21" s="1"/>
  <c r="I31" i="21" s="1"/>
  <c r="I32" i="21" s="1"/>
  <c r="K29" i="21"/>
  <c r="K30" i="21" s="1"/>
  <c r="K31" i="21" s="1"/>
  <c r="K32" i="21" s="1"/>
  <c r="E11" i="7"/>
  <c r="F11" i="7" s="1"/>
  <c r="E10" i="7"/>
  <c r="F10" i="7" s="1"/>
  <c r="B10" i="7" l="1"/>
  <c r="B11" i="7"/>
  <c r="B13" i="7"/>
  <c r="B14" i="7"/>
  <c r="B12" i="7"/>
</calcChain>
</file>

<file path=xl/sharedStrings.xml><?xml version="1.0" encoding="utf-8"?>
<sst xmlns="http://schemas.openxmlformats.org/spreadsheetml/2006/main" count="164" uniqueCount="94">
  <si>
    <t xml:space="preserve"> 구 분</t>
    <phoneticPr fontId="5" type="noConversion"/>
  </si>
  <si>
    <t>직접노무비</t>
    <phoneticPr fontId="5" type="noConversion"/>
  </si>
  <si>
    <t>소계 (A)</t>
    <phoneticPr fontId="5" type="noConversion"/>
  </si>
  <si>
    <t>경   비</t>
    <phoneticPr fontId="5" type="noConversion"/>
  </si>
  <si>
    <t>건강보험</t>
    <phoneticPr fontId="5" type="noConversion"/>
  </si>
  <si>
    <t>노인장기요양보험</t>
    <phoneticPr fontId="5" type="noConversion"/>
  </si>
  <si>
    <t>순용역원가(C)</t>
    <phoneticPr fontId="5" type="noConversion"/>
  </si>
  <si>
    <t>공급가액</t>
    <phoneticPr fontId="5" type="noConversion"/>
  </si>
  <si>
    <t>부가세</t>
    <phoneticPr fontId="5" type="noConversion"/>
  </si>
  <si>
    <t>백원단위 절사, 부가세 포함</t>
    <phoneticPr fontId="4" type="noConversion"/>
  </si>
  <si>
    <t>임금채권보장보험료</t>
    <phoneticPr fontId="4" type="noConversion"/>
  </si>
  <si>
    <t>근무일 및 근무시간</t>
    <phoneticPr fontId="4" type="noConversion"/>
  </si>
  <si>
    <t>퇴 직 금</t>
    <phoneticPr fontId="5" type="noConversion"/>
  </si>
  <si>
    <t>산재보험</t>
    <phoneticPr fontId="5" type="noConversion"/>
  </si>
  <si>
    <t>고용보험</t>
    <phoneticPr fontId="5" type="noConversion"/>
  </si>
  <si>
    <t>미화</t>
    <phoneticPr fontId="4" type="noConversion"/>
  </si>
  <si>
    <t xml:space="preserve">산 출 내 역 </t>
    <phoneticPr fontId="5" type="noConversion"/>
  </si>
  <si>
    <t>합계</t>
    <phoneticPr fontId="4" type="noConversion"/>
  </si>
  <si>
    <t>국   민   연   금</t>
    <phoneticPr fontId="4" type="noConversion"/>
  </si>
  <si>
    <t>비     고</t>
    <phoneticPr fontId="4" type="noConversion"/>
  </si>
  <si>
    <t>노인장기요양법 제9조</t>
    <phoneticPr fontId="5" type="noConversion"/>
  </si>
  <si>
    <t>국민연금법 제88조</t>
    <phoneticPr fontId="5" type="noConversion"/>
  </si>
  <si>
    <t>계(a1)</t>
    <phoneticPr fontId="4" type="noConversion"/>
  </si>
  <si>
    <t>년간일수</t>
    <phoneticPr fontId="5" type="noConversion"/>
  </si>
  <si>
    <t>년간주수</t>
    <phoneticPr fontId="5" type="noConversion"/>
  </si>
  <si>
    <t>월간주수</t>
    <phoneticPr fontId="5" type="noConversion"/>
  </si>
  <si>
    <t>월근로시간</t>
    <phoneticPr fontId="5" type="noConversion"/>
  </si>
  <si>
    <t>근로시간</t>
    <phoneticPr fontId="5" type="noConversion"/>
  </si>
  <si>
    <t>주근로일</t>
    <phoneticPr fontId="5" type="noConversion"/>
  </si>
  <si>
    <t>주근로시간</t>
    <phoneticPr fontId="5" type="noConversion"/>
  </si>
  <si>
    <t>주인정시간</t>
    <phoneticPr fontId="5" type="noConversion"/>
  </si>
  <si>
    <t>▶ 근무일수 및 근무 시간 :</t>
    <phoneticPr fontId="4" type="noConversion"/>
  </si>
  <si>
    <t>피복비</t>
    <phoneticPr fontId="5" type="noConversion"/>
  </si>
  <si>
    <t>소계(b-1)</t>
    <phoneticPr fontId="5" type="noConversion"/>
  </si>
  <si>
    <t>소계(b-2)</t>
    <phoneticPr fontId="5" type="noConversion"/>
  </si>
  <si>
    <t>경비총액(B)</t>
    <phoneticPr fontId="5" type="noConversion"/>
  </si>
  <si>
    <t>A+B</t>
    <phoneticPr fontId="4" type="noConversion"/>
  </si>
  <si>
    <t>기본급(평일)</t>
    <phoneticPr fontId="5" type="noConversion"/>
  </si>
  <si>
    <t>순용역원가+일반관리비+이윤</t>
    <phoneticPr fontId="5" type="noConversion"/>
  </si>
  <si>
    <t>공급가액*0.1</t>
    <phoneticPr fontId="5" type="noConversion"/>
  </si>
  <si>
    <t>공급가액+부가세</t>
    <phoneticPr fontId="5" type="noConversion"/>
  </si>
  <si>
    <t>시 급 (평 일)</t>
    <phoneticPr fontId="5" type="noConversion"/>
  </si>
  <si>
    <t>통상임금(a1) × 0.06%</t>
    <phoneticPr fontId="4" type="noConversion"/>
  </si>
  <si>
    <t>고용보험법 제6조</t>
    <phoneticPr fontId="5" type="noConversion"/>
  </si>
  <si>
    <t>산업재해보상보험법 제4조</t>
    <phoneticPr fontId="5" type="noConversion"/>
  </si>
  <si>
    <t>국민건강보험법 제69조 및 시행령 제43조의2</t>
    <phoneticPr fontId="5" type="noConversion"/>
  </si>
  <si>
    <t>임금채권보장보험법 제9조</t>
    <phoneticPr fontId="5" type="noConversion"/>
  </si>
  <si>
    <t>석면피해구제분담금</t>
    <phoneticPr fontId="5" type="noConversion"/>
  </si>
  <si>
    <t>통상임금(a1) × 0.003%</t>
    <phoneticPr fontId="5" type="noConversion"/>
  </si>
  <si>
    <t>상여금</t>
    <phoneticPr fontId="5" type="noConversion"/>
  </si>
  <si>
    <t>기본급+연차수당+상여금</t>
    <phoneticPr fontId="4" type="noConversion"/>
  </si>
  <si>
    <t>기본급+연차수당+상여금+퇴직금</t>
    <phoneticPr fontId="4" type="noConversion"/>
  </si>
  <si>
    <t xml:space="preserve">시급*월근무시간(근무일수 산출표 참조(주휴수당포함)) </t>
    <phoneticPr fontId="4" type="noConversion"/>
  </si>
  <si>
    <t>석면피해구제법 제31조</t>
    <phoneticPr fontId="5" type="noConversion"/>
  </si>
  <si>
    <t>1개월 기준</t>
    <phoneticPr fontId="5" type="noConversion"/>
  </si>
  <si>
    <t>월 총 계</t>
    <phoneticPr fontId="4" type="noConversion"/>
  </si>
  <si>
    <t>월 계</t>
    <phoneticPr fontId="4" type="noConversion"/>
  </si>
  <si>
    <t>경비/주차(1)</t>
    <phoneticPr fontId="4" type="noConversion"/>
  </si>
  <si>
    <t>주휴수당</t>
    <phoneticPr fontId="4" type="noConversion"/>
  </si>
  <si>
    <t>경비/주차(2)
(토요일근무포함)</t>
    <phoneticPr fontId="4" type="noConversion"/>
  </si>
  <si>
    <t>경비/주차 : 1일 6시간, 2명 근무(토요일 교대, 경비/주차(2)에 근무시수 포함)
미화 : 1일 6시간 근무</t>
    <phoneticPr fontId="5" type="noConversion"/>
  </si>
  <si>
    <t>연차수당(평일,월1일)</t>
    <phoneticPr fontId="5" type="noConversion"/>
  </si>
  <si>
    <t>15개/12</t>
    <phoneticPr fontId="5" type="noConversion"/>
  </si>
  <si>
    <t>직접노무비+경비+1년만기 발생연차</t>
    <phoneticPr fontId="5" type="noConversion"/>
  </si>
  <si>
    <t>1년만기 발생연차</t>
    <phoneticPr fontId="5" type="noConversion"/>
  </si>
  <si>
    <t>[(단가 65,000원*년2착*투입인원)/12월]</t>
  </si>
  <si>
    <t>일반관리비(D)</t>
  </si>
  <si>
    <t>이윤</t>
  </si>
  <si>
    <t>(C+D)의 10% 이내</t>
  </si>
  <si>
    <t>통상임금(a1) × 4.5%</t>
    <phoneticPr fontId="4" type="noConversion"/>
  </si>
  <si>
    <t>(기본금+상여금)/(월근로시간*일근무시간*15개)/12개</t>
    <phoneticPr fontId="4" type="noConversion"/>
  </si>
  <si>
    <t>(65,000원*2*투입인원/12)</t>
    <phoneticPr fontId="4" type="noConversion"/>
  </si>
  <si>
    <t>(1,200,000원/12)</t>
    <phoneticPr fontId="5" type="noConversion"/>
  </si>
  <si>
    <t>연 총 금 액(12개월)</t>
    <phoneticPr fontId="4" type="noConversion"/>
  </si>
  <si>
    <t>((기본급*50%)/12)</t>
    <phoneticPr fontId="5" type="noConversion"/>
  </si>
  <si>
    <t>(일일급여*11/12)</t>
    <phoneticPr fontId="5" type="noConversion"/>
  </si>
  <si>
    <t>((기본급+연차수당+상여금)/12)</t>
    <phoneticPr fontId="4" type="noConversion"/>
  </si>
  <si>
    <t>[(단가 65,000원*년2착*투입인원)/12월]</t>
    <phoneticPr fontId="4" type="noConversion"/>
  </si>
  <si>
    <t>(65,000원*2*투입인원/12)*낙찰율적용</t>
    <phoneticPr fontId="5" type="noConversion"/>
  </si>
  <si>
    <t>(1,200,000원/12)*낙찰율적용</t>
    <phoneticPr fontId="5" type="noConversion"/>
  </si>
  <si>
    <t>통상임금(a1) × 0.9%</t>
    <phoneticPr fontId="5" type="noConversion"/>
  </si>
  <si>
    <t>통상임금(a1) × 3.545%</t>
    <phoneticPr fontId="5" type="noConversion"/>
  </si>
  <si>
    <t>건강보험료 × 12.81%</t>
    <phoneticPr fontId="5" type="noConversion"/>
  </si>
  <si>
    <t>▶ 계약기간 : 2023.1.1.~12.31</t>
    <phoneticPr fontId="4" type="noConversion"/>
  </si>
  <si>
    <t>경비/주차/미화 : 중소기업중앙회 시중노임단가(단순노무종사원) 이상적용</t>
    <phoneticPr fontId="5" type="noConversion"/>
  </si>
  <si>
    <t>2023 시설관리용역 산출내역서</t>
    <phoneticPr fontId="5" type="noConversion"/>
  </si>
  <si>
    <t>급식비</t>
    <phoneticPr fontId="5" type="noConversion"/>
  </si>
  <si>
    <t>지방자치단체를 당사자로 하는 계약에 관한 법률 시행규칙 제8조</t>
    <phoneticPr fontId="4" type="noConversion"/>
  </si>
  <si>
    <t>C의 3%</t>
    <phoneticPr fontId="4" type="noConversion"/>
  </si>
  <si>
    <t>C의 3%</t>
    <phoneticPr fontId="5" type="noConversion"/>
  </si>
  <si>
    <t>지방자치단체를 당사자로 하는 계약에 관한 법률 시행규칙 제8조 5% 적용</t>
    <phoneticPr fontId="4" type="noConversion"/>
  </si>
  <si>
    <t>지방자치단체를 당사자로 하는 계약에 관한 법률 시행규칙 제8조</t>
    <phoneticPr fontId="5" type="noConversion"/>
  </si>
  <si>
    <t>지방자치단체를 당사자로 하는 계약에 관한 법률 시행규칙 제8조 5% 적용</t>
    <phoneticPr fontId="5" type="noConversion"/>
  </si>
  <si>
    <t>경비/주차 : 1일 6시간, 2명 근무(토요일 교대, 경비/주차(2)에 근무시수 포함)
미화 : 1일 7시간 근무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</si>
</sst>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&quot;낙찰률 88% 적용시 &quot;#,##0"/>
    <numFmt numFmtId="177" formatCode="&quot;최저임금 112% 시간당 단가 &quot;#,##0&quot;원&quot;"/>
    <numFmt numFmtId="178" formatCode="0_ "/>
    <numFmt numFmtId="179" formatCode="0.00_ "/>
    <numFmt numFmtId="180" formatCode="0.0_ 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name val="굴림체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8"/>
      <color theme="1"/>
      <name val="HY동녘B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5"/>
      <name val="굴림체"/>
      <family val="3"/>
      <charset val="129"/>
    </font>
    <font>
      <sz val="10"/>
      <color theme="0" tint="-0.499984740745262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color rgb="FF000000"/>
      <name val="HCI Poppy"/>
      <family val="2"/>
    </font>
    <font>
      <sz val="10"/>
      <color rgb="FFFF0000"/>
      <name val="굴림체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09">
    <xf numFmtId="0" fontId="0" fillId="0" borderId="0" xfId="0">
      <alignment vertical="center"/>
    </xf>
    <xf numFmtId="0" fontId="6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41" fontId="12" fillId="2" borderId="0" xfId="1" applyNumberFormat="1" applyFont="1" applyFill="1" applyBorder="1" applyAlignment="1">
      <alignment horizontal="center" vertical="center" wrapText="1"/>
    </xf>
    <xf numFmtId="41" fontId="12" fillId="2" borderId="0" xfId="1" applyNumberFormat="1" applyFont="1" applyFill="1" applyBorder="1" applyAlignment="1">
      <alignment horizontal="center" vertical="center"/>
    </xf>
    <xf numFmtId="41" fontId="7" fillId="0" borderId="0" xfId="1" applyNumberFormat="1" applyFont="1" applyBorder="1" applyAlignment="1">
      <alignment horizontal="left" vertical="center" wrapText="1"/>
    </xf>
    <xf numFmtId="3" fontId="13" fillId="0" borderId="13" xfId="1" applyNumberFormat="1" applyFont="1" applyBorder="1" applyAlignment="1">
      <alignment horizontal="right" vertical="center" indent="1"/>
    </xf>
    <xf numFmtId="41" fontId="7" fillId="0" borderId="0" xfId="1" applyNumberFormat="1" applyFont="1" applyFill="1" applyBorder="1" applyAlignment="1">
      <alignment vertical="center" wrapText="1" shrinkToFit="1"/>
    </xf>
    <xf numFmtId="41" fontId="7" fillId="0" borderId="0" xfId="1" applyNumberFormat="1" applyFont="1" applyBorder="1" applyAlignment="1">
      <alignment horizontal="left" vertical="center"/>
    </xf>
    <xf numFmtId="3" fontId="13" fillId="3" borderId="13" xfId="1" applyNumberFormat="1" applyFont="1" applyFill="1" applyBorder="1" applyAlignment="1">
      <alignment horizontal="right" vertical="center" indent="1"/>
    </xf>
    <xf numFmtId="41" fontId="7" fillId="2" borderId="0" xfId="1" applyNumberFormat="1" applyFont="1" applyFill="1" applyBorder="1" applyAlignment="1">
      <alignment horizontal="left" vertical="center" indent="1"/>
    </xf>
    <xf numFmtId="3" fontId="7" fillId="2" borderId="20" xfId="1" applyNumberFormat="1" applyFont="1" applyFill="1" applyBorder="1" applyAlignment="1">
      <alignment horizontal="right" vertical="center" indent="1"/>
    </xf>
    <xf numFmtId="41" fontId="7" fillId="0" borderId="0" xfId="1" applyNumberFormat="1" applyFont="1" applyFill="1" applyBorder="1" applyAlignment="1">
      <alignment horizontal="left" vertical="center" indent="1"/>
    </xf>
    <xf numFmtId="0" fontId="15" fillId="0" borderId="0" xfId="2" applyFont="1" applyAlignment="1">
      <alignment horizontal="center" vertical="center"/>
    </xf>
    <xf numFmtId="41" fontId="7" fillId="2" borderId="0" xfId="1" applyNumberFormat="1" applyFont="1" applyFill="1" applyBorder="1" applyAlignment="1">
      <alignment vertical="center"/>
    </xf>
    <xf numFmtId="41" fontId="7" fillId="4" borderId="0" xfId="1" applyNumberFormat="1" applyFont="1" applyFill="1" applyBorder="1" applyAlignment="1">
      <alignment vertical="center"/>
    </xf>
    <xf numFmtId="41" fontId="16" fillId="0" borderId="0" xfId="1" applyNumberFormat="1" applyFont="1" applyAlignment="1">
      <alignment horizontal="left" vertical="center" indent="1"/>
    </xf>
    <xf numFmtId="3" fontId="7" fillId="0" borderId="31" xfId="1" applyNumberFormat="1" applyFont="1" applyFill="1" applyBorder="1" applyAlignment="1">
      <alignment horizontal="right" vertical="center" indent="1"/>
    </xf>
    <xf numFmtId="0" fontId="10" fillId="0" borderId="0" xfId="2" applyFont="1" applyFill="1" applyAlignment="1">
      <alignment horizontal="center" vertical="center"/>
    </xf>
    <xf numFmtId="3" fontId="7" fillId="0" borderId="13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/>
    </xf>
    <xf numFmtId="41" fontId="13" fillId="0" borderId="39" xfId="1" applyNumberFormat="1" applyFont="1" applyBorder="1" applyAlignment="1">
      <alignment horizontal="center" vertical="center" wrapText="1"/>
    </xf>
    <xf numFmtId="41" fontId="13" fillId="3" borderId="39" xfId="1" applyNumberFormat="1" applyFont="1" applyFill="1" applyBorder="1" applyAlignment="1">
      <alignment horizontal="center" vertical="center"/>
    </xf>
    <xf numFmtId="41" fontId="13" fillId="0" borderId="39" xfId="1" applyNumberFormat="1" applyFont="1" applyFill="1" applyBorder="1" applyAlignment="1">
      <alignment horizontal="center" vertical="center"/>
    </xf>
    <xf numFmtId="41" fontId="7" fillId="2" borderId="40" xfId="1" applyNumberFormat="1" applyFont="1" applyFill="1" applyBorder="1" applyAlignment="1">
      <alignment horizontal="center" vertical="center"/>
    </xf>
    <xf numFmtId="41" fontId="7" fillId="0" borderId="39" xfId="1" applyNumberFormat="1" applyFont="1" applyFill="1" applyBorder="1" applyAlignment="1">
      <alignment horizontal="center" vertical="center" wrapText="1" shrinkToFit="1"/>
    </xf>
    <xf numFmtId="41" fontId="7" fillId="0" borderId="39" xfId="1" applyNumberFormat="1" applyFont="1" applyFill="1" applyBorder="1" applyAlignment="1">
      <alignment horizontal="center" vertical="center" wrapText="1"/>
    </xf>
    <xf numFmtId="41" fontId="7" fillId="2" borderId="40" xfId="1" applyNumberFormat="1" applyFont="1" applyFill="1" applyBorder="1" applyAlignment="1">
      <alignment horizontal="center" vertical="center" wrapText="1"/>
    </xf>
    <xf numFmtId="41" fontId="7" fillId="2" borderId="41" xfId="1" applyNumberFormat="1" applyFont="1" applyFill="1" applyBorder="1" applyAlignment="1">
      <alignment horizontal="center" vertical="center" wrapText="1"/>
    </xf>
    <xf numFmtId="176" fontId="7" fillId="4" borderId="42" xfId="1" applyNumberFormat="1" applyFont="1" applyFill="1" applyBorder="1" applyAlignment="1">
      <alignment horizontal="center" vertical="center" wrapText="1"/>
    </xf>
    <xf numFmtId="3" fontId="13" fillId="0" borderId="10" xfId="1" applyNumberFormat="1" applyFont="1" applyBorder="1" applyAlignment="1">
      <alignment horizontal="right" vertical="center" indent="1"/>
    </xf>
    <xf numFmtId="177" fontId="8" fillId="0" borderId="2" xfId="1" applyNumberFormat="1" applyFont="1" applyBorder="1" applyAlignment="1">
      <alignment vertical="center"/>
    </xf>
    <xf numFmtId="41" fontId="13" fillId="3" borderId="13" xfId="1" applyNumberFormat="1" applyFont="1" applyFill="1" applyBorder="1" applyAlignment="1">
      <alignment horizontal="center" vertical="center"/>
    </xf>
    <xf numFmtId="41" fontId="13" fillId="0" borderId="13" xfId="1" applyNumberFormat="1" applyFont="1" applyFill="1" applyBorder="1" applyAlignment="1">
      <alignment horizontal="center" vertical="center"/>
    </xf>
    <xf numFmtId="41" fontId="7" fillId="2" borderId="20" xfId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center" vertical="center" wrapText="1" shrinkToFit="1"/>
    </xf>
    <xf numFmtId="41" fontId="7" fillId="0" borderId="13" xfId="1" applyNumberFormat="1" applyFont="1" applyFill="1" applyBorder="1" applyAlignment="1">
      <alignment horizontal="center" vertical="center" wrapText="1"/>
    </xf>
    <xf numFmtId="41" fontId="7" fillId="2" borderId="20" xfId="1" applyNumberFormat="1" applyFont="1" applyFill="1" applyBorder="1" applyAlignment="1">
      <alignment horizontal="center" vertical="center" wrapText="1"/>
    </xf>
    <xf numFmtId="41" fontId="7" fillId="0" borderId="36" xfId="1" applyNumberFormat="1" applyFont="1" applyFill="1" applyBorder="1" applyAlignment="1">
      <alignment horizontal="center" vertical="center" wrapText="1"/>
    </xf>
    <xf numFmtId="41" fontId="7" fillId="2" borderId="32" xfId="1" applyNumberFormat="1" applyFont="1" applyFill="1" applyBorder="1" applyAlignment="1">
      <alignment horizontal="center" vertical="center" wrapText="1"/>
    </xf>
    <xf numFmtId="176" fontId="7" fillId="4" borderId="27" xfId="1" applyNumberFormat="1" applyFont="1" applyFill="1" applyBorder="1" applyAlignment="1">
      <alignment horizontal="center" vertical="center" wrapText="1"/>
    </xf>
    <xf numFmtId="41" fontId="7" fillId="0" borderId="0" xfId="2" applyNumberFormat="1" applyFont="1" applyBorder="1" applyAlignment="1">
      <alignment horizontal="center" vertical="center"/>
    </xf>
    <xf numFmtId="0" fontId="22" fillId="6" borderId="32" xfId="0" applyFont="1" applyFill="1" applyBorder="1" applyAlignment="1">
      <alignment horizontal="center" vertical="center"/>
    </xf>
    <xf numFmtId="178" fontId="23" fillId="6" borderId="32" xfId="0" applyNumberFormat="1" applyFont="1" applyFill="1" applyBorder="1" applyAlignment="1">
      <alignment vertical="center"/>
    </xf>
    <xf numFmtId="0" fontId="21" fillId="7" borderId="0" xfId="0" applyFont="1" applyFill="1">
      <alignment vertical="center"/>
    </xf>
    <xf numFmtId="0" fontId="24" fillId="7" borderId="0" xfId="0" applyFont="1" applyFill="1" applyAlignment="1">
      <alignment vertical="center"/>
    </xf>
    <xf numFmtId="179" fontId="23" fillId="6" borderId="32" xfId="0" applyNumberFormat="1" applyFont="1" applyFill="1" applyBorder="1" applyAlignment="1">
      <alignment vertical="center"/>
    </xf>
    <xf numFmtId="0" fontId="23" fillId="6" borderId="32" xfId="0" applyFont="1" applyFill="1" applyBorder="1" applyAlignment="1">
      <alignment horizontal="center" vertical="center"/>
    </xf>
    <xf numFmtId="0" fontId="25" fillId="8" borderId="32" xfId="0" applyFont="1" applyFill="1" applyBorder="1" applyAlignment="1">
      <alignment horizontal="center" vertical="center"/>
    </xf>
    <xf numFmtId="3" fontId="7" fillId="0" borderId="46" xfId="1" applyNumberFormat="1" applyFont="1" applyFill="1" applyBorder="1" applyAlignment="1">
      <alignment horizontal="right" vertical="center" indent="1"/>
    </xf>
    <xf numFmtId="3" fontId="7" fillId="0" borderId="45" xfId="1" applyNumberFormat="1" applyFont="1" applyFill="1" applyBorder="1" applyAlignment="1">
      <alignment horizontal="right" vertical="center" indent="1"/>
    </xf>
    <xf numFmtId="41" fontId="7" fillId="2" borderId="36" xfId="1" applyNumberFormat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right" vertical="center" indent="1"/>
    </xf>
    <xf numFmtId="41" fontId="7" fillId="2" borderId="38" xfId="1" applyNumberFormat="1" applyFont="1" applyFill="1" applyBorder="1" applyAlignment="1">
      <alignment horizontal="center" vertical="center" wrapText="1"/>
    </xf>
    <xf numFmtId="41" fontId="26" fillId="0" borderId="0" xfId="1" applyNumberFormat="1" applyFont="1" applyAlignment="1">
      <alignment horizontal="center" vertical="center"/>
    </xf>
    <xf numFmtId="41" fontId="12" fillId="0" borderId="0" xfId="1" applyNumberFormat="1" applyFont="1" applyFill="1" applyBorder="1" applyAlignment="1">
      <alignment horizontal="center" vertical="center"/>
    </xf>
    <xf numFmtId="41" fontId="13" fillId="0" borderId="47" xfId="1" applyNumberFormat="1" applyFont="1" applyFill="1" applyBorder="1" applyAlignment="1">
      <alignment horizontal="center" vertical="center" wrapText="1"/>
    </xf>
    <xf numFmtId="41" fontId="7" fillId="0" borderId="49" xfId="1" applyNumberFormat="1" applyFont="1" applyFill="1" applyBorder="1" applyAlignment="1">
      <alignment horizontal="center" vertical="center" wrapText="1"/>
    </xf>
    <xf numFmtId="0" fontId="25" fillId="6" borderId="32" xfId="0" applyFont="1" applyFill="1" applyBorder="1" applyAlignment="1">
      <alignment horizontal="center" vertical="center"/>
    </xf>
    <xf numFmtId="41" fontId="11" fillId="0" borderId="9" xfId="1" applyNumberFormat="1" applyFont="1" applyFill="1" applyBorder="1" applyAlignment="1">
      <alignment horizontal="center" vertical="center"/>
    </xf>
    <xf numFmtId="3" fontId="13" fillId="0" borderId="9" xfId="1" applyNumberFormat="1" applyFont="1" applyBorder="1" applyAlignment="1">
      <alignment horizontal="right" vertical="center" indent="1"/>
    </xf>
    <xf numFmtId="41" fontId="18" fillId="0" borderId="13" xfId="1" applyNumberFormat="1" applyFont="1" applyBorder="1" applyAlignment="1">
      <alignment horizontal="center" vertical="center" wrapText="1"/>
    </xf>
    <xf numFmtId="41" fontId="13" fillId="0" borderId="32" xfId="1" applyNumberFormat="1" applyFont="1" applyBorder="1" applyAlignment="1">
      <alignment horizontal="center" vertical="center" wrapText="1"/>
    </xf>
    <xf numFmtId="41" fontId="7" fillId="4" borderId="58" xfId="1" applyNumberFormat="1" applyFont="1" applyFill="1" applyBorder="1" applyAlignment="1">
      <alignment horizontal="center" vertical="center" wrapText="1"/>
    </xf>
    <xf numFmtId="176" fontId="7" fillId="4" borderId="59" xfId="1" applyNumberFormat="1" applyFont="1" applyFill="1" applyBorder="1" applyAlignment="1">
      <alignment horizontal="center" vertical="center" wrapText="1"/>
    </xf>
    <xf numFmtId="41" fontId="7" fillId="4" borderId="54" xfId="1" applyNumberFormat="1" applyFont="1" applyFill="1" applyBorder="1" applyAlignment="1">
      <alignment vertical="center"/>
    </xf>
    <xf numFmtId="176" fontId="7" fillId="4" borderId="62" xfId="1" applyNumberFormat="1" applyFont="1" applyFill="1" applyBorder="1" applyAlignment="1">
      <alignment horizontal="center" vertical="center" wrapText="1"/>
    </xf>
    <xf numFmtId="3" fontId="27" fillId="2" borderId="34" xfId="1" applyNumberFormat="1" applyFont="1" applyFill="1" applyBorder="1" applyAlignment="1">
      <alignment horizontal="right" vertical="center" indent="1"/>
    </xf>
    <xf numFmtId="3" fontId="27" fillId="4" borderId="27" xfId="1" applyNumberFormat="1" applyFont="1" applyFill="1" applyBorder="1" applyAlignment="1">
      <alignment horizontal="right" vertical="center" indent="1"/>
    </xf>
    <xf numFmtId="3" fontId="27" fillId="4" borderId="43" xfId="1" applyNumberFormat="1" applyFont="1" applyFill="1" applyBorder="1" applyAlignment="1">
      <alignment horizontal="right" vertical="center" indent="1"/>
    </xf>
    <xf numFmtId="3" fontId="28" fillId="4" borderId="43" xfId="1" applyNumberFormat="1" applyFont="1" applyFill="1" applyBorder="1" applyAlignment="1">
      <alignment horizontal="right" vertical="center" indent="1"/>
    </xf>
    <xf numFmtId="3" fontId="27" fillId="4" borderId="61" xfId="1" applyNumberFormat="1" applyFont="1" applyFill="1" applyBorder="1" applyAlignment="1">
      <alignment horizontal="right" vertical="center" indent="1"/>
    </xf>
    <xf numFmtId="3" fontId="28" fillId="4" borderId="61" xfId="1" applyNumberFormat="1" applyFont="1" applyFill="1" applyBorder="1" applyAlignment="1">
      <alignment horizontal="right" vertical="center" indent="1"/>
    </xf>
    <xf numFmtId="43" fontId="6" fillId="0" borderId="0" xfId="2" applyNumberFormat="1" applyFont="1" applyAlignment="1">
      <alignment horizontal="center" vertical="center"/>
    </xf>
    <xf numFmtId="3" fontId="7" fillId="2" borderId="32" xfId="1" applyNumberFormat="1" applyFont="1" applyFill="1" applyBorder="1" applyAlignment="1">
      <alignment horizontal="right" vertical="center" indent="1"/>
    </xf>
    <xf numFmtId="41" fontId="13" fillId="0" borderId="44" xfId="1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41" fontId="7" fillId="0" borderId="0" xfId="1" applyNumberFormat="1" applyFont="1" applyFill="1" applyBorder="1" applyAlignment="1">
      <alignment horizontal="left" vertical="center"/>
    </xf>
    <xf numFmtId="41" fontId="13" fillId="0" borderId="13" xfId="1" applyNumberFormat="1" applyFont="1" applyBorder="1" applyAlignment="1">
      <alignment horizontal="center" vertical="center" wrapText="1"/>
    </xf>
    <xf numFmtId="41" fontId="7" fillId="0" borderId="46" xfId="1" applyNumberFormat="1" applyFont="1" applyFill="1" applyBorder="1" applyAlignment="1">
      <alignment horizontal="center" vertical="center" wrapText="1"/>
    </xf>
    <xf numFmtId="41" fontId="13" fillId="0" borderId="45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/>
    </xf>
    <xf numFmtId="41" fontId="7" fillId="0" borderId="32" xfId="1" applyNumberFormat="1" applyFont="1" applyFill="1" applyBorder="1" applyAlignment="1">
      <alignment horizontal="center" vertical="center" wrapText="1"/>
    </xf>
    <xf numFmtId="3" fontId="27" fillId="2" borderId="9" xfId="1" applyNumberFormat="1" applyFont="1" applyFill="1" applyBorder="1" applyAlignment="1">
      <alignment horizontal="right" vertical="center" indent="1"/>
    </xf>
    <xf numFmtId="3" fontId="27" fillId="4" borderId="58" xfId="1" applyNumberFormat="1" applyFont="1" applyFill="1" applyBorder="1" applyAlignment="1">
      <alignment horizontal="right" vertical="center" indent="1"/>
    </xf>
    <xf numFmtId="41" fontId="6" fillId="0" borderId="0" xfId="1" applyNumberFormat="1" applyFont="1" applyAlignment="1">
      <alignment horizontal="center" vertical="center"/>
    </xf>
    <xf numFmtId="41" fontId="6" fillId="0" borderId="0" xfId="1" applyNumberFormat="1" applyFont="1" applyAlignment="1">
      <alignment horizontal="left" vertical="center"/>
    </xf>
    <xf numFmtId="177" fontId="8" fillId="0" borderId="0" xfId="1" applyNumberFormat="1" applyFont="1" applyBorder="1" applyAlignment="1">
      <alignment vertical="center"/>
    </xf>
    <xf numFmtId="41" fontId="12" fillId="2" borderId="1" xfId="1" applyNumberFormat="1" applyFont="1" applyFill="1" applyBorder="1" applyAlignment="1">
      <alignment horizontal="center" vertical="center" wrapText="1"/>
    </xf>
    <xf numFmtId="41" fontId="13" fillId="0" borderId="49" xfId="1" applyNumberFormat="1" applyFont="1" applyBorder="1" applyAlignment="1">
      <alignment horizontal="center" vertical="center" wrapText="1"/>
    </xf>
    <xf numFmtId="41" fontId="13" fillId="0" borderId="41" xfId="1" applyNumberFormat="1" applyFont="1" applyBorder="1" applyAlignment="1">
      <alignment horizontal="center" vertical="center" wrapText="1"/>
    </xf>
    <xf numFmtId="41" fontId="8" fillId="0" borderId="46" xfId="1" applyNumberFormat="1" applyFont="1" applyFill="1" applyBorder="1" applyAlignment="1">
      <alignment horizontal="center" vertical="center" wrapText="1"/>
    </xf>
    <xf numFmtId="41" fontId="8" fillId="2" borderId="36" xfId="1" applyNumberFormat="1" applyFont="1" applyFill="1" applyBorder="1" applyAlignment="1">
      <alignment horizontal="center" vertical="center" wrapText="1"/>
    </xf>
    <xf numFmtId="3" fontId="8" fillId="2" borderId="32" xfId="1" applyNumberFormat="1" applyFont="1" applyFill="1" applyBorder="1" applyAlignment="1">
      <alignment horizontal="right" vertical="center" indent="1"/>
    </xf>
    <xf numFmtId="41" fontId="13" fillId="0" borderId="13" xfId="3" applyFont="1" applyBorder="1" applyAlignment="1">
      <alignment horizontal="center" vertical="center" wrapText="1"/>
    </xf>
    <xf numFmtId="41" fontId="7" fillId="2" borderId="38" xfId="3" applyFont="1" applyFill="1" applyBorder="1" applyAlignment="1">
      <alignment horizontal="center" vertical="center" wrapText="1"/>
    </xf>
    <xf numFmtId="3" fontId="8" fillId="0" borderId="46" xfId="3" applyNumberFormat="1" applyFont="1" applyFill="1" applyBorder="1" applyAlignment="1">
      <alignment horizontal="right" vertical="center" indent="1"/>
    </xf>
    <xf numFmtId="3" fontId="8" fillId="0" borderId="45" xfId="3" applyNumberFormat="1" applyFont="1" applyFill="1" applyBorder="1" applyAlignment="1">
      <alignment horizontal="right" vertical="center" indent="1"/>
    </xf>
    <xf numFmtId="3" fontId="31" fillId="0" borderId="0" xfId="0" applyNumberFormat="1" applyFont="1" applyAlignment="1">
      <alignment horizontal="center" vertical="center" readingOrder="1"/>
    </xf>
    <xf numFmtId="3" fontId="32" fillId="0" borderId="0" xfId="0" applyNumberFormat="1" applyFont="1" applyAlignment="1">
      <alignment horizontal="center" vertical="center"/>
    </xf>
    <xf numFmtId="41" fontId="10" fillId="0" borderId="0" xfId="1" applyFont="1" applyFill="1" applyAlignment="1">
      <alignment horizontal="center" vertical="center"/>
    </xf>
    <xf numFmtId="3" fontId="29" fillId="9" borderId="9" xfId="1" applyNumberFormat="1" applyFont="1" applyFill="1" applyBorder="1" applyAlignment="1">
      <alignment horizontal="right" vertical="center" indent="1"/>
    </xf>
    <xf numFmtId="41" fontId="7" fillId="9" borderId="13" xfId="1" applyNumberFormat="1" applyFont="1" applyFill="1" applyBorder="1" applyAlignment="1">
      <alignment horizontal="center" vertical="center" wrapText="1"/>
    </xf>
    <xf numFmtId="41" fontId="7" fillId="9" borderId="13" xfId="1" applyNumberFormat="1" applyFont="1" applyFill="1" applyBorder="1" applyAlignment="1">
      <alignment horizontal="center" vertical="center" wrapText="1" shrinkToFit="1"/>
    </xf>
    <xf numFmtId="41" fontId="10" fillId="0" borderId="0" xfId="1" applyFont="1" applyAlignment="1">
      <alignment horizontal="center" vertical="center"/>
    </xf>
    <xf numFmtId="43" fontId="10" fillId="0" borderId="0" xfId="2" applyNumberFormat="1" applyFont="1" applyAlignment="1">
      <alignment horizontal="center" vertical="center"/>
    </xf>
    <xf numFmtId="43" fontId="10" fillId="0" borderId="0" xfId="2" applyNumberFormat="1" applyFont="1" applyFill="1" applyAlignment="1">
      <alignment horizontal="center" vertical="center"/>
    </xf>
    <xf numFmtId="41" fontId="33" fillId="0" borderId="0" xfId="1" applyFont="1" applyFill="1" applyAlignment="1">
      <alignment horizontal="center" vertical="center"/>
    </xf>
    <xf numFmtId="180" fontId="23" fillId="6" borderId="32" xfId="0" applyNumberFormat="1" applyFont="1" applyFill="1" applyBorder="1" applyAlignment="1">
      <alignment horizontal="center" vertical="center"/>
    </xf>
    <xf numFmtId="0" fontId="3" fillId="0" borderId="44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horizontal="center" vertical="center"/>
    </xf>
    <xf numFmtId="41" fontId="11" fillId="2" borderId="3" xfId="1" applyFont="1" applyFill="1" applyBorder="1" applyAlignment="1">
      <alignment horizontal="center" vertical="center" wrapText="1"/>
    </xf>
    <xf numFmtId="41" fontId="11" fillId="2" borderId="1" xfId="1" applyFont="1" applyFill="1" applyBorder="1" applyAlignment="1">
      <alignment horizontal="center" vertical="center" wrapText="1"/>
    </xf>
    <xf numFmtId="41" fontId="11" fillId="2" borderId="4" xfId="1" applyFont="1" applyFill="1" applyBorder="1" applyAlignment="1">
      <alignment horizontal="center" vertical="center" wrapText="1"/>
    </xf>
    <xf numFmtId="41" fontId="11" fillId="2" borderId="5" xfId="1" applyFont="1" applyFill="1" applyBorder="1" applyAlignment="1">
      <alignment horizontal="center" vertical="center" wrapText="1"/>
    </xf>
    <xf numFmtId="41" fontId="11" fillId="2" borderId="6" xfId="1" applyFont="1" applyFill="1" applyBorder="1" applyAlignment="1">
      <alignment horizontal="center" vertical="center" wrapText="1"/>
    </xf>
    <xf numFmtId="41" fontId="11" fillId="2" borderId="7" xfId="1" applyFont="1" applyFill="1" applyBorder="1" applyAlignment="1">
      <alignment horizontal="center" vertical="center" wrapText="1"/>
    </xf>
    <xf numFmtId="41" fontId="11" fillId="2" borderId="35" xfId="1" applyNumberFormat="1" applyFont="1" applyFill="1" applyBorder="1" applyAlignment="1">
      <alignment horizontal="center" vertical="center" wrapText="1"/>
    </xf>
    <xf numFmtId="41" fontId="11" fillId="2" borderId="36" xfId="1" applyNumberFormat="1" applyFont="1" applyFill="1" applyBorder="1" applyAlignment="1">
      <alignment horizontal="center" vertical="center"/>
    </xf>
    <xf numFmtId="41" fontId="11" fillId="2" borderId="36" xfId="1" applyNumberFormat="1" applyFont="1" applyFill="1" applyBorder="1" applyAlignment="1">
      <alignment horizontal="center" vertical="center" wrapText="1"/>
    </xf>
    <xf numFmtId="41" fontId="11" fillId="2" borderId="1" xfId="1" applyNumberFormat="1" applyFont="1" applyFill="1" applyBorder="1" applyAlignment="1">
      <alignment horizontal="center" vertical="center" wrapText="1"/>
    </xf>
    <xf numFmtId="41" fontId="11" fillId="2" borderId="6" xfId="1" applyNumberFormat="1" applyFont="1" applyFill="1" applyBorder="1" applyAlignment="1">
      <alignment horizontal="center" vertical="center" wrapText="1"/>
    </xf>
    <xf numFmtId="41" fontId="11" fillId="2" borderId="37" xfId="1" applyNumberFormat="1" applyFont="1" applyFill="1" applyBorder="1" applyAlignment="1">
      <alignment horizontal="center" vertical="center" wrapText="1"/>
    </xf>
    <xf numFmtId="41" fontId="11" fillId="2" borderId="38" xfId="1" applyNumberFormat="1" applyFont="1" applyFill="1" applyBorder="1" applyAlignment="1">
      <alignment horizontal="center" vertical="center"/>
    </xf>
    <xf numFmtId="41" fontId="13" fillId="0" borderId="48" xfId="1" applyFont="1" applyBorder="1" applyAlignment="1">
      <alignment horizontal="center" vertical="center" textRotation="255" wrapText="1"/>
    </xf>
    <xf numFmtId="41" fontId="13" fillId="0" borderId="33" xfId="1" applyFont="1" applyBorder="1" applyAlignment="1">
      <alignment horizontal="center" vertical="center" textRotation="255" wrapText="1"/>
    </xf>
    <xf numFmtId="41" fontId="13" fillId="0" borderId="5" xfId="1" applyFont="1" applyBorder="1" applyAlignment="1">
      <alignment horizontal="center" vertical="center" textRotation="255" wrapText="1"/>
    </xf>
    <xf numFmtId="41" fontId="13" fillId="5" borderId="9" xfId="1" applyFont="1" applyFill="1" applyBorder="1" applyAlignment="1">
      <alignment horizontal="center" vertical="center" wrapText="1"/>
    </xf>
    <xf numFmtId="0" fontId="13" fillId="0" borderId="50" xfId="2" applyFont="1" applyBorder="1" applyAlignment="1">
      <alignment horizontal="distributed" vertical="center" indent="1"/>
    </xf>
    <xf numFmtId="0" fontId="13" fillId="0" borderId="51" xfId="2" applyFont="1" applyBorder="1" applyAlignment="1">
      <alignment horizontal="distributed" vertical="center" indent="1"/>
    </xf>
    <xf numFmtId="0" fontId="13" fillId="0" borderId="52" xfId="2" applyFont="1" applyBorder="1" applyAlignment="1">
      <alignment horizontal="distributed" vertical="center" indent="1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0" xfId="2" applyFont="1" applyBorder="1" applyAlignment="1">
      <alignment horizontal="distributed" vertical="center" indent="1"/>
    </xf>
    <xf numFmtId="0" fontId="13" fillId="0" borderId="11" xfId="2" applyFont="1" applyBorder="1" applyAlignment="1">
      <alignment horizontal="distributed" vertical="center" indent="1"/>
    </xf>
    <xf numFmtId="0" fontId="13" fillId="0" borderId="12" xfId="2" applyFont="1" applyBorder="1" applyAlignment="1">
      <alignment horizontal="distributed" vertical="center" indent="1"/>
    </xf>
    <xf numFmtId="0" fontId="13" fillId="3" borderId="10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9" fillId="0" borderId="10" xfId="2" applyFont="1" applyBorder="1" applyAlignment="1">
      <alignment horizontal="distributed" vertical="center" indent="1"/>
    </xf>
    <xf numFmtId="0" fontId="19" fillId="0" borderId="11" xfId="2" applyFont="1" applyBorder="1" applyAlignment="1">
      <alignment horizontal="distributed" vertical="center" indent="1"/>
    </xf>
    <xf numFmtId="0" fontId="19" fillId="0" borderId="12" xfId="2" applyFont="1" applyBorder="1" applyAlignment="1">
      <alignment horizontal="distributed" vertical="center" indent="1"/>
    </xf>
    <xf numFmtId="0" fontId="7" fillId="2" borderId="14" xfId="2" applyFont="1" applyFill="1" applyBorder="1" applyAlignment="1">
      <alignment horizontal="distributed" vertical="center" indent="1"/>
    </xf>
    <xf numFmtId="0" fontId="7" fillId="2" borderId="15" xfId="2" applyFont="1" applyFill="1" applyBorder="1" applyAlignment="1">
      <alignment horizontal="distributed" vertical="center" indent="1"/>
    </xf>
    <xf numFmtId="0" fontId="7" fillId="2" borderId="16" xfId="2" applyFont="1" applyFill="1" applyBorder="1" applyAlignment="1">
      <alignment horizontal="distributed" vertical="center" indent="1"/>
    </xf>
    <xf numFmtId="0" fontId="7" fillId="0" borderId="10" xfId="2" applyFont="1" applyBorder="1" applyAlignment="1">
      <alignment horizontal="distributed" vertical="center" indent="1"/>
    </xf>
    <xf numFmtId="0" fontId="7" fillId="0" borderId="11" xfId="2" applyFont="1" applyBorder="1" applyAlignment="1">
      <alignment horizontal="distributed" vertical="center" indent="1"/>
    </xf>
    <xf numFmtId="0" fontId="7" fillId="0" borderId="12" xfId="2" applyFont="1" applyBorder="1" applyAlignment="1">
      <alignment horizontal="distributed" vertical="center" indent="1"/>
    </xf>
    <xf numFmtId="0" fontId="9" fillId="0" borderId="10" xfId="2" applyFont="1" applyBorder="1" applyAlignment="1">
      <alignment horizontal="distributed" vertical="center" indent="1"/>
    </xf>
    <xf numFmtId="0" fontId="9" fillId="0" borderId="11" xfId="2" applyFont="1" applyBorder="1" applyAlignment="1">
      <alignment horizontal="distributed" vertical="center" indent="1"/>
    </xf>
    <xf numFmtId="0" fontId="9" fillId="0" borderId="12" xfId="2" applyFont="1" applyBorder="1" applyAlignment="1">
      <alignment horizontal="distributed" vertical="center" indent="1"/>
    </xf>
    <xf numFmtId="0" fontId="14" fillId="0" borderId="10" xfId="2" applyFont="1" applyBorder="1" applyAlignment="1">
      <alignment horizontal="distributed" vertical="center" indent="1"/>
    </xf>
    <xf numFmtId="0" fontId="14" fillId="0" borderId="11" xfId="2" applyFont="1" applyBorder="1" applyAlignment="1">
      <alignment horizontal="distributed" vertical="center" indent="1"/>
    </xf>
    <xf numFmtId="0" fontId="14" fillId="0" borderId="12" xfId="2" applyFont="1" applyBorder="1" applyAlignment="1">
      <alignment horizontal="distributed" vertical="center" indent="1"/>
    </xf>
    <xf numFmtId="0" fontId="7" fillId="2" borderId="17" xfId="2" applyFont="1" applyFill="1" applyBorder="1" applyAlignment="1">
      <alignment horizontal="distributed" vertical="center" indent="1"/>
    </xf>
    <xf numFmtId="0" fontId="7" fillId="2" borderId="18" xfId="2" applyFont="1" applyFill="1" applyBorder="1" applyAlignment="1">
      <alignment horizontal="distributed" vertical="center" indent="1"/>
    </xf>
    <xf numFmtId="0" fontId="7" fillId="2" borderId="19" xfId="2" applyFont="1" applyFill="1" applyBorder="1" applyAlignment="1">
      <alignment horizontal="distributed" vertical="center" indent="1"/>
    </xf>
    <xf numFmtId="0" fontId="30" fillId="0" borderId="10" xfId="2" applyFont="1" applyBorder="1" applyAlignment="1">
      <alignment horizontal="distributed" vertical="center" indent="1"/>
    </xf>
    <xf numFmtId="0" fontId="30" fillId="0" borderId="11" xfId="2" applyFont="1" applyBorder="1" applyAlignment="1">
      <alignment horizontal="distributed" vertical="center" indent="1"/>
    </xf>
    <xf numFmtId="0" fontId="30" fillId="0" borderId="12" xfId="2" applyFont="1" applyBorder="1" applyAlignment="1">
      <alignment horizontal="distributed" vertical="center" indent="1"/>
    </xf>
    <xf numFmtId="0" fontId="8" fillId="2" borderId="44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horizontal="center" vertical="center"/>
    </xf>
    <xf numFmtId="41" fontId="7" fillId="2" borderId="21" xfId="1" applyNumberFormat="1" applyFont="1" applyFill="1" applyBorder="1" applyAlignment="1">
      <alignment horizontal="center" vertical="center" wrapText="1"/>
    </xf>
    <xf numFmtId="41" fontId="7" fillId="2" borderId="22" xfId="1" applyNumberFormat="1" applyFont="1" applyFill="1" applyBorder="1" applyAlignment="1">
      <alignment horizontal="center" vertical="center" wrapText="1"/>
    </xf>
    <xf numFmtId="41" fontId="7" fillId="2" borderId="23" xfId="1" applyNumberFormat="1" applyFont="1" applyFill="1" applyBorder="1" applyAlignment="1">
      <alignment horizontal="center" vertical="center" wrapText="1"/>
    </xf>
    <xf numFmtId="0" fontId="12" fillId="4" borderId="53" xfId="2" applyFont="1" applyFill="1" applyBorder="1" applyAlignment="1">
      <alignment horizontal="center" vertical="center"/>
    </xf>
    <xf numFmtId="0" fontId="12" fillId="4" borderId="54" xfId="2" applyFont="1" applyFill="1" applyBorder="1" applyAlignment="1">
      <alignment horizontal="center" vertical="center"/>
    </xf>
    <xf numFmtId="0" fontId="12" fillId="4" borderId="60" xfId="2" applyFont="1" applyFill="1" applyBorder="1" applyAlignment="1">
      <alignment horizontal="center" vertical="center"/>
    </xf>
    <xf numFmtId="0" fontId="7" fillId="0" borderId="21" xfId="2" applyFont="1" applyBorder="1" applyAlignment="1">
      <alignment horizontal="distributed" vertical="center" indent="1"/>
    </xf>
    <xf numFmtId="0" fontId="7" fillId="0" borderId="22" xfId="2" applyFont="1" applyBorder="1" applyAlignment="1">
      <alignment horizontal="distributed" vertical="center" indent="1"/>
    </xf>
    <xf numFmtId="0" fontId="7" fillId="0" borderId="23" xfId="2" applyFont="1" applyBorder="1" applyAlignment="1">
      <alignment horizontal="distributed" vertical="center" indent="1"/>
    </xf>
    <xf numFmtId="0" fontId="7" fillId="2" borderId="21" xfId="2" applyFont="1" applyFill="1" applyBorder="1" applyAlignment="1">
      <alignment horizontal="distributed" vertical="center" indent="1"/>
    </xf>
    <xf numFmtId="0" fontId="7" fillId="2" borderId="22" xfId="2" applyFont="1" applyFill="1" applyBorder="1" applyAlignment="1">
      <alignment horizontal="distributed" vertical="center" indent="1"/>
    </xf>
    <xf numFmtId="0" fontId="7" fillId="2" borderId="23" xfId="2" applyFont="1" applyFill="1" applyBorder="1" applyAlignment="1">
      <alignment horizontal="distributed" vertical="center" indent="1"/>
    </xf>
    <xf numFmtId="0" fontId="7" fillId="4" borderId="24" xfId="2" applyFont="1" applyFill="1" applyBorder="1" applyAlignment="1">
      <alignment horizontal="distributed" vertical="center" indent="1"/>
    </xf>
    <xf numFmtId="0" fontId="7" fillId="4" borderId="25" xfId="2" applyFont="1" applyFill="1" applyBorder="1" applyAlignment="1">
      <alignment horizontal="distributed" vertical="center" indent="1"/>
    </xf>
    <xf numFmtId="0" fontId="7" fillId="4" borderId="26" xfId="2" applyFont="1" applyFill="1" applyBorder="1" applyAlignment="1">
      <alignment horizontal="distributed" vertical="center" indent="1"/>
    </xf>
    <xf numFmtId="0" fontId="12" fillId="4" borderId="55" xfId="2" applyFont="1" applyFill="1" applyBorder="1" applyAlignment="1">
      <alignment horizontal="distributed" vertical="center" indent="1"/>
    </xf>
    <xf numFmtId="0" fontId="12" fillId="4" borderId="56" xfId="2" applyFont="1" applyFill="1" applyBorder="1" applyAlignment="1">
      <alignment horizontal="distributed" vertical="center" indent="1"/>
    </xf>
    <xf numFmtId="0" fontId="12" fillId="4" borderId="57" xfId="2" applyFont="1" applyFill="1" applyBorder="1" applyAlignment="1">
      <alignment horizontal="distributed" vertical="center" indent="1"/>
    </xf>
    <xf numFmtId="0" fontId="7" fillId="0" borderId="48" xfId="2" applyFont="1" applyBorder="1" applyAlignment="1">
      <alignment horizontal="center" vertical="center" textRotation="255" wrapText="1"/>
    </xf>
    <xf numFmtId="0" fontId="7" fillId="0" borderId="33" xfId="2" applyFont="1" applyBorder="1" applyAlignment="1">
      <alignment horizontal="center" vertical="center" textRotation="255" wrapText="1"/>
    </xf>
    <xf numFmtId="0" fontId="7" fillId="0" borderId="5" xfId="2" applyFont="1" applyBorder="1" applyAlignment="1">
      <alignment horizontal="center" vertical="center" textRotation="255" wrapText="1"/>
    </xf>
    <xf numFmtId="0" fontId="7" fillId="0" borderId="28" xfId="2" applyFont="1" applyBorder="1" applyAlignment="1">
      <alignment horizontal="distributed" vertical="center" indent="1"/>
    </xf>
    <xf numFmtId="0" fontId="7" fillId="0" borderId="29" xfId="2" applyFont="1" applyBorder="1" applyAlignment="1">
      <alignment horizontal="distributed" vertical="center" indent="1"/>
    </xf>
    <xf numFmtId="0" fontId="7" fillId="0" borderId="30" xfId="2" applyFont="1" applyBorder="1" applyAlignment="1">
      <alignment horizontal="distributed" vertical="center" indent="1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7" borderId="10" xfId="2" applyFont="1" applyFill="1" applyBorder="1" applyAlignment="1">
      <alignment horizontal="distributed" vertical="center" indent="1"/>
    </xf>
    <xf numFmtId="0" fontId="7" fillId="7" borderId="11" xfId="2" applyFont="1" applyFill="1" applyBorder="1" applyAlignment="1">
      <alignment horizontal="distributed" vertical="center" indent="1"/>
    </xf>
    <xf numFmtId="0" fontId="7" fillId="7" borderId="12" xfId="2" applyFont="1" applyFill="1" applyBorder="1" applyAlignment="1">
      <alignment horizontal="distributed" vertical="center" indent="1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7" fillId="2" borderId="44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center" vertical="center"/>
    </xf>
    <xf numFmtId="41" fontId="7" fillId="2" borderId="44" xfId="1" applyNumberFormat="1" applyFont="1" applyFill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textRotation="255" wrapText="1"/>
    </xf>
    <xf numFmtId="0" fontId="7" fillId="0" borderId="0" xfId="2" applyFont="1" applyBorder="1" applyAlignment="1">
      <alignment horizontal="center" vertical="center" textRotation="255" wrapText="1"/>
    </xf>
    <xf numFmtId="0" fontId="7" fillId="0" borderId="6" xfId="2" applyFont="1" applyBorder="1" applyAlignment="1">
      <alignment horizontal="center" vertical="center" textRotation="255" wrapText="1"/>
    </xf>
    <xf numFmtId="41" fontId="13" fillId="0" borderId="9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9">
    <cellStyle name="쉼표 [0]" xfId="1" builtinId="6"/>
    <cellStyle name="쉼표 [0] 2" xfId="3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  <cellStyle name="표준 2" xfId="6" xr:uid="{00000000-0005-0000-0000-000006000000}"/>
    <cellStyle name="표준 3" xfId="7" xr:uid="{00000000-0005-0000-0000-000007000000}"/>
    <cellStyle name="표준 4" xfId="8" xr:uid="{00000000-0005-0000-0000-000008000000}"/>
    <cellStyle name="표준_시립도서관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30</xdr:row>
      <xdr:rowOff>19050</xdr:rowOff>
    </xdr:from>
    <xdr:to>
      <xdr:col>6</xdr:col>
      <xdr:colOff>666750</xdr:colOff>
      <xdr:row>30</xdr:row>
      <xdr:rowOff>85725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90725" y="11115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7" name="Text Box 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1" name="Text Box 1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9" name="Text Box 1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9" name="Text Box 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29</xdr:row>
      <xdr:rowOff>19050</xdr:rowOff>
    </xdr:from>
    <xdr:to>
      <xdr:col>6</xdr:col>
      <xdr:colOff>666750</xdr:colOff>
      <xdr:row>29</xdr:row>
      <xdr:rowOff>85725</xdr:rowOff>
    </xdr:to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90725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5" name="Text Box 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6" name="Text Box 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9" name="Text Box 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1" name="Text Box 1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0" name="Text Box 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2" name="Text Box 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9" name="Text Box 1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3" name="Text Box 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4" name="Text Box 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5" name="Text Box 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1" name="Text Box 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3" name="Text Box 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7" name="Text Box 1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9" name="Text Box 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32</xdr:row>
      <xdr:rowOff>0</xdr:rowOff>
    </xdr:from>
    <xdr:to>
      <xdr:col>6</xdr:col>
      <xdr:colOff>666750</xdr:colOff>
      <xdr:row>32</xdr:row>
      <xdr:rowOff>66675</xdr:rowOff>
    </xdr:to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90725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3" name="Text Box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4" name="Text Box 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5" name="Text Box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7" name="Text Box 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9" name="Text Box 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1" name="Text Box 1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4" name="Text Box 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5" name="Text Box 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6" name="Text Box 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7" name="Text Box 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9" name="Text Box 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4" name="Text Box 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8" name="Text Box 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9" name="Text Box 1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0" name="Text Box 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8" name="Text Box 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9" name="Text Box 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1" name="Text Box 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3" name="Text Box 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7" name="Text Box 1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32</xdr:row>
      <xdr:rowOff>0</xdr:rowOff>
    </xdr:from>
    <xdr:to>
      <xdr:col>6</xdr:col>
      <xdr:colOff>666750</xdr:colOff>
      <xdr:row>32</xdr:row>
      <xdr:rowOff>66675</xdr:rowOff>
    </xdr:to>
    <xdr:sp macro="" textlink="">
      <xdr:nvSpPr>
        <xdr:cNvPr id="192" name="Text Box 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90725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3" name="Text Box 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4" name="Text Box 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0" name="Text Box 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1" name="Text Box 1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7" name="Text Box 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5" name="Text Box 5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6" name="Text Box 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7" name="Text Box 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9" name="Text Box 1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0" name="Text Box 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8" name="Text Box 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2" name="Text Box 5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5" name="Text Box 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7" name="Text Box 1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8" name="Text Box 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9" name="Text Box 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0" name="Text Box 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32</xdr:row>
      <xdr:rowOff>0</xdr:rowOff>
    </xdr:from>
    <xdr:to>
      <xdr:col>6</xdr:col>
      <xdr:colOff>666750</xdr:colOff>
      <xdr:row>32</xdr:row>
      <xdr:rowOff>66675</xdr:rowOff>
    </xdr:to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90725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9" name="Text Box 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1" name="Text Box 1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5" name="Text Box 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7" name="Text Box 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9" name="Text Box 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3" name="Text Box 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4" name="Text Box 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5" name="Text Box 5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7" name="Text Box 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9" name="Text Box 1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2" name="Text Box 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3" name="Text Box 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5" name="Text Box 5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7" name="Text Box 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9" name="Text Box 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1" name="Text Box 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3" name="Text Box 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5" name="Text Box 5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7" name="Text Box 1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8" name="Text Box 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9" name="Text Box 5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32</xdr:row>
      <xdr:rowOff>0</xdr:rowOff>
    </xdr:from>
    <xdr:to>
      <xdr:col>6</xdr:col>
      <xdr:colOff>666750</xdr:colOff>
      <xdr:row>32</xdr:row>
      <xdr:rowOff>66675</xdr:rowOff>
    </xdr:to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90725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3" name="Text Box 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5" name="Text Box 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7" name="Text Box 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9" name="Text Box 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4" name="Text Box 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5" name="Text Box 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7" name="Text Box 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8" name="Text Box 5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9" name="Text Box 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2" name="Text Box 5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3" name="Text Box 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9" name="Text Box 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0" name="Text Box 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1" name="Text Box 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3" name="Text Box 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5" name="Text Box 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7" name="Text Box 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9" name="Text Box 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3" name="Text Box 5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4" name="Text Box 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5" name="Text Box 5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7" name="Text Box 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9" name="Text Box 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0" name="Text Box 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1" name="Text Box 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3" name="Text Box 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4" name="Text Box 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5" name="Text Box 5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7" name="Text Box 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8" name="Text Box 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49" name="Text Box 1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2" name="Text Box 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3" name="Text Box 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6" name="Text Box 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7" name="Text Box 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9" name="Text Box 1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0" name="Text Box 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1" name="Text Box 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4" name="Text Box 5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5" name="Text Box 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6" name="Text Box 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7" name="Text Box 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8" name="Text Box 5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9" name="Text Box 1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70" name="Text Box 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72" name="Text Box 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3" name="Text Box 1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5" name="Text Box 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6" name="Text Box 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7" name="Text Box 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8" name="Text Box 5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0" name="Text Box 5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2" name="Text Box 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3" name="Text Box 1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4" name="Text Box 5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5" name="Text Box 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6" name="Text Box 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7" name="Text Box 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0" name="Text Box 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2" name="Text Box 5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3" name="Text Box 1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4" name="Text Box 5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5" name="Text Box 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6" name="Text Box 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19050</xdr:rowOff>
    </xdr:from>
    <xdr:to>
      <xdr:col>16</xdr:col>
      <xdr:colOff>619125</xdr:colOff>
      <xdr:row>29</xdr:row>
      <xdr:rowOff>85725</xdr:rowOff>
    </xdr:to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399" name="Text Box 5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0" name="Text Box 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2" name="Text Box 5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4" name="Text Box 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5" name="Text Box 5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7" name="Text Box 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8" name="Text Box 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9" name="Text Box 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0" name="Text Box 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2" name="Text Box 5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3" name="Text Box 5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4" name="Text Box 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5" name="Text Box 5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6" name="Text Box 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7" name="Text Box 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8" name="Text Box 5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9" name="Text Box 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1" name="Text Box 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4" name="Text Box 5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5" name="Text Box 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7" name="Text Box 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8" name="Text Box 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9" name="Text Box 5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0" name="Text Box 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3" name="Text Box 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4" name="Text Box 5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5" name="Text Box 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6" name="Text Box 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7" name="Text Box 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8" name="Text Box 5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9" name="Text Box 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0" name="Text Box 5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2" name="Text Box 5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4" name="Text Box 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7" name="Text Box 1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8" name="Text Box 5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9" name="Text Box 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0" name="Text Box 5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2" name="Text Box 5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3" name="Text Box 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4" name="Text Box 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5" name="Text Box 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6" name="Text Box 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7" name="Text Box 1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8" name="Text Box 5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0" name="Text Box 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1" name="Text Box 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2" name="Text Box 5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3" name="Text Box 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4" name="Text Box 5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5" name="Text Box 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6" name="Text Box 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7" name="Text Box 1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8" name="Text Box 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9" name="Text Box 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2" name="Text Box 5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4" name="Text Box 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7" name="Text Box 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8" name="Text Box 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9" name="Text Box 5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1" name="Text Box 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2" name="Text Box 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3" name="Text Box 1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4" name="Text Box 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5" name="Text Box 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7" name="Text Box 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8" name="Text Box 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2" name="Text Box 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3" name="Text Box 1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5" name="Text Box 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6" name="Text Box 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7" name="Text Box 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499" name="Text Box 1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0" name="Text Box 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3" name="Text Box 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4" name="Text Box 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7" name="Text Box 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8" name="Text Box 5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9" name="Text Box 1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0" name="Text Box 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1" name="Text Box 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3" name="Text Box 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5" name="Text Box 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7" name="Text Box 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0" name="Text Box 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1" name="Text Box 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3" name="Text Box 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19050</xdr:rowOff>
    </xdr:from>
    <xdr:to>
      <xdr:col>7</xdr:col>
      <xdr:colOff>619125</xdr:colOff>
      <xdr:row>29</xdr:row>
      <xdr:rowOff>85725</xdr:rowOff>
    </xdr:to>
    <xdr:sp macro="" textlink="">
      <xdr:nvSpPr>
        <xdr:cNvPr id="524" name="Text Box 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6019800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9" name="Text Box 5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1" name="Text Box 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3" name="Text Box 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5" name="Text Box 1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6" name="Text Box 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7" name="Text Box 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9" name="Text Box 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1" name="Text Box 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3" name="Text Box 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7" name="Text Box 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29</xdr:row>
      <xdr:rowOff>19050</xdr:rowOff>
    </xdr:from>
    <xdr:to>
      <xdr:col>7</xdr:col>
      <xdr:colOff>666750</xdr:colOff>
      <xdr:row>29</xdr:row>
      <xdr:rowOff>85725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6067425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1" name="Text Box 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2" name="Text Box 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3" name="Text Box 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5" name="Text Box 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7" name="Text Box 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8" name="Text Box 5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9" name="Text Box 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1" name="Text Box 1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3" name="Text Box 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4" name="Text Box 5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5" name="Text Box 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7" name="Text Box 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8" name="Text Box 5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9" name="Text Box 5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0" name="Text Box 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1" name="Text Box 1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2" name="Text Box 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3" name="Text Box 5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5" name="Text Box 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</xdr:colOff>
      <xdr:row>29</xdr:row>
      <xdr:rowOff>19050</xdr:rowOff>
    </xdr:from>
    <xdr:to>
      <xdr:col>9</xdr:col>
      <xdr:colOff>666750</xdr:colOff>
      <xdr:row>29</xdr:row>
      <xdr:rowOff>85725</xdr:rowOff>
    </xdr:to>
    <xdr:sp macro="" textlink="">
      <xdr:nvSpPr>
        <xdr:cNvPr id="576" name="Text Box 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8924925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78" name="Text Box 5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79" name="Text Box 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0" name="Text Box 5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1" name="Text Box 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2" name="Text Box 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3" name="Text Box 5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4" name="Text Box 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5" name="Text Box 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6" name="Text Box 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7" name="Text Box 1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8" name="Text Box 5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9" name="Text Box 5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0" name="Text Box 5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1" name="Text Box 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2" name="Text Box 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66675</xdr:rowOff>
    </xdr:from>
    <xdr:to>
      <xdr:col>7</xdr:col>
      <xdr:colOff>619125</xdr:colOff>
      <xdr:row>33</xdr:row>
      <xdr:rowOff>133350</xdr:rowOff>
    </xdr:to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6019800" y="126777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4" name="Text Box 1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5" name="Text Box 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6" name="Text Box 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8" name="Text Box 5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9" name="Text Box 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0" name="Text Box 5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1" name="Text Box 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2" name="Text Box 5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3" name="Text Box 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4" name="Text Box 1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5" name="Text Box 5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6" name="Text Box 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7" name="Text Box 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8" name="Text Box 5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9" name="Text Box 5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0" name="Text Box 5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1" name="Text Box 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2" name="Text Box 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3" name="Text Box 5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4" name="Text Box 11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6" name="Text Box 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7" name="Text Box 5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8" name="Text Box 5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30</xdr:row>
      <xdr:rowOff>19050</xdr:rowOff>
    </xdr:from>
    <xdr:to>
      <xdr:col>7</xdr:col>
      <xdr:colOff>666750</xdr:colOff>
      <xdr:row>30</xdr:row>
      <xdr:rowOff>85725</xdr:rowOff>
    </xdr:to>
    <xdr:sp macro="" textlink="">
      <xdr:nvSpPr>
        <xdr:cNvPr id="619" name="Text Box 5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6067425" y="11115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0" name="Text Box 11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1" name="Text Box 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2" name="Text Box 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3" name="Text Box 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4" name="Text Box 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5" name="Text Box 5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7" name="Text Box 5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8" name="Text Box 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9" name="Text Box 5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0" name="Text Box 11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1" name="Text Box 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2" name="Text Box 5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5" name="Text Box 5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6" name="Text Box 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9" name="Text Box 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0" name="Text Box 1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1" name="Text Box 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2" name="Text Box 5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3" name="Text Box 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4" name="Text Box 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</xdr:colOff>
      <xdr:row>30</xdr:row>
      <xdr:rowOff>19050</xdr:rowOff>
    </xdr:from>
    <xdr:to>
      <xdr:col>9</xdr:col>
      <xdr:colOff>666750</xdr:colOff>
      <xdr:row>30</xdr:row>
      <xdr:rowOff>85725</xdr:rowOff>
    </xdr:to>
    <xdr:sp macro="" textlink="">
      <xdr:nvSpPr>
        <xdr:cNvPr id="645" name="Text Box 5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8924925" y="11115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46" name="Text Box 1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48" name="Text Box 5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49" name="Text Box 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0" name="Text Box 5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1" name="Text Box 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2" name="Text Box 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3" name="Text Box 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4" name="Text Box 5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5" name="Text Box 5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6" name="Text Box 1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7" name="Text Box 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8" name="Text Box 5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0" name="Text Box 5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1" name="Text Box 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2" name="Text Box 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3" name="Text Box 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4" name="Text Box 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5" name="Text Box 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6" name="Text Box 1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7" name="Text Box 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8" name="Text Box 5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1" name="Text Box 1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2" name="Text Box 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3" name="Text Box 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4" name="Text Box 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5" name="Text Box 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6" name="Text Box 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7" name="Text Box 5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8" name="Text Box 5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9" name="Text Box 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0" name="Text Box 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1" name="Text Box 1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3" name="Text Box 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4" name="Text Box 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5" name="Text Box 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6" name="Text Box 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7" name="Text Box 5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8" name="Text Box 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9" name="Text Box 5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0" name="Text Box 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1" name="Text Box 1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2" name="Text Box 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3" name="Text Box 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4" name="Text Box 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5" name="Text Box 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696" name="Text Box 1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697" name="Text Box 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698" name="Text Box 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699" name="Text Box 5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0" name="Text Box 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1" name="Text Box 5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2" name="Text Box 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4" name="Text Box 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5" name="Text Box 5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6" name="Text Box 1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8" name="Text Box 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9" name="Text Box 5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0" name="Text Box 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1" name="Text Box 5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2" name="Text Box 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3" name="Text Box 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4" name="Text Box 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5" name="Text Box 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6" name="Text Box 1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7" name="Text Box 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8" name="Text Box 5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9" name="Text Box 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0" name="Text Box 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19050</xdr:rowOff>
    </xdr:from>
    <xdr:to>
      <xdr:col>8</xdr:col>
      <xdr:colOff>619125</xdr:colOff>
      <xdr:row>29</xdr:row>
      <xdr:rowOff>85725</xdr:rowOff>
    </xdr:to>
    <xdr:sp macro="" textlink="">
      <xdr:nvSpPr>
        <xdr:cNvPr id="721" name="Text Box 5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7448550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2" name="Text Box 1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3" name="Text Box 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4" name="Text Box 5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6" name="Text Box 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7" name="Text Box 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8" name="Text Box 5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9" name="Text Box 5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0" name="Text Box 5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1" name="Text Box 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2" name="Text Box 1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3" name="Text Box 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4" name="Text Box 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5" name="Text Box 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6" name="Text Box 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8" name="Text Box 5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9" name="Text Box 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0" name="Text Box 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1" name="Text Box 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2" name="Text Box 1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3" name="Text Box 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4" name="Text Box 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5" name="Text Box 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6" name="Text Box 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</xdr:colOff>
      <xdr:row>29</xdr:row>
      <xdr:rowOff>19050</xdr:rowOff>
    </xdr:from>
    <xdr:to>
      <xdr:col>8</xdr:col>
      <xdr:colOff>666750</xdr:colOff>
      <xdr:row>29</xdr:row>
      <xdr:rowOff>85725</xdr:rowOff>
    </xdr:to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7496175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48" name="Text Box 1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49" name="Text Box 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0" name="Text Box 5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1" name="Text Box 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2" name="Text Box 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3" name="Text Box 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4" name="Text Box 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5" name="Text Box 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6" name="Text Box 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7" name="Text Box 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8" name="Text Box 1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9" name="Text Box 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0" name="Text Box 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1" name="Text Box 5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2" name="Text Box 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3" name="Text Box 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4" name="Text Box 1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5" name="Text Box 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6" name="Text Box 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7" name="Text Box 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1" name="Text Box 5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2" name="Text Box 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3" name="Text Box 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4" name="Text Box 1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5" name="Text Box 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6" name="Text Box 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7" name="Text Box 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9" name="Text Box 5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0" name="Text Box 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2" name="Text Box 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3" name="Text Box 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4" name="Text Box 1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5" name="Text Box 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6" name="Text Box 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7" name="Text Box 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8" name="Text Box 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</xdr:colOff>
      <xdr:row>30</xdr:row>
      <xdr:rowOff>19050</xdr:rowOff>
    </xdr:from>
    <xdr:to>
      <xdr:col>8</xdr:col>
      <xdr:colOff>666750</xdr:colOff>
      <xdr:row>30</xdr:row>
      <xdr:rowOff>85725</xdr:rowOff>
    </xdr:to>
    <xdr:sp macro="" textlink="">
      <xdr:nvSpPr>
        <xdr:cNvPr id="789" name="Text Box 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7496175" y="11115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0" name="Text Box 1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2" name="Text Box 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3" name="Text Box 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4" name="Text Box 5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5" name="Text Box 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6" name="Text Box 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7" name="Text Box 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8" name="Text Box 5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9" name="Text Box 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0" name="Text Box 1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1" name="Text Box 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3" name="Text Box 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4" name="Text Box 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5" name="Text Box 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6" name="Text Box 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7" name="Text Box 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8" name="Text Box 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9" name="Text Box 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0" name="Text Box 1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1" name="Text Box 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2" name="Text Box 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4" name="Text Box 5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5" name="Text Box 1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6" name="Text Box 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7" name="Text Box 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8" name="Text Box 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9" name="Text Box 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0" name="Text Box 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1" name="Text Box 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3" name="Text Box 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4" name="Text Box 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5" name="Text Box 1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6" name="Text Box 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7" name="Text Box 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8" name="Text Box 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9" name="Text Box 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0" name="Text Box 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1" name="Text Box 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2" name="Text Box 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3" name="Text Box 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4" name="Text Box 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5" name="Text Box 1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6" name="Text Box 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7" name="Text Box 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8" name="Text Box 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9" name="Text Box 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0" name="Text Box 11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1" name="Text Box 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3" name="Text Box 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4" name="Text Box 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5" name="Text Box 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6" name="Text Box 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7" name="Text Box 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8" name="Text Box 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9" name="Text Box 5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0" name="Text Box 1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1" name="Text Box 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2" name="Text Box 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3" name="Text Box 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4" name="Text Box 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5" name="Text Box 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6" name="Text Box 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8" name="Text Box 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9" name="Text Box 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0" name="Text Box 1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1" name="Text Box 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2" name="Text Box 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3" name="Text Box 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4" name="Text Box 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5" name="Text Box 1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6" name="Text Box 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7" name="Text Box 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8" name="Text Box 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9" name="Text Box 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0" name="Text Box 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1" name="Text Box 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2" name="Text Box 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3" name="Text Box 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4" name="Text Box 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5" name="Text Box 1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6" name="Text Box 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8" name="Text Box 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0" name="Text Box 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1" name="Text Box 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2" name="Text Box 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3" name="Text Box 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4" name="Text Box 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6" name="Text Box 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7" name="Text Box 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8" name="Text Box 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9" name="Text Box 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30</xdr:row>
      <xdr:rowOff>19050</xdr:rowOff>
    </xdr:from>
    <xdr:to>
      <xdr:col>6</xdr:col>
      <xdr:colOff>666750</xdr:colOff>
      <xdr:row>30</xdr:row>
      <xdr:rowOff>85725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990725" y="11115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7" name="Text Box 5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619125</xdr:colOff>
      <xdr:row>30</xdr:row>
      <xdr:rowOff>66675</xdr:rowOff>
    </xdr:to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9431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1" name="Text Box 1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69" name="Text Box 1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89" name="Text Box 5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29</xdr:row>
      <xdr:rowOff>19050</xdr:rowOff>
    </xdr:from>
    <xdr:to>
      <xdr:col>6</xdr:col>
      <xdr:colOff>666750</xdr:colOff>
      <xdr:row>29</xdr:row>
      <xdr:rowOff>85725</xdr:rowOff>
    </xdr:to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990725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5" name="Text Box 5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6" name="Text Box 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99" name="Text Box 5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619125</xdr:colOff>
      <xdr:row>29</xdr:row>
      <xdr:rowOff>66675</xdr:rowOff>
    </xdr:to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9431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1" name="Text Box 1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0" name="Text Box 5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2" name="Text Box 5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19" name="Text Box 1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3" name="Text Box 5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4" name="Text Box 5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5" name="Text Box 5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1" name="Text Box 5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3" name="Text Box 5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7" name="Text Box 1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39" name="Text Box 5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32</xdr:row>
      <xdr:rowOff>0</xdr:rowOff>
    </xdr:from>
    <xdr:to>
      <xdr:col>6</xdr:col>
      <xdr:colOff>666750</xdr:colOff>
      <xdr:row>32</xdr:row>
      <xdr:rowOff>66675</xdr:rowOff>
    </xdr:to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1990725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3" name="Text Box 5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4" name="Text Box 5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5" name="Text Box 5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7" name="Text Box 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49" name="Text Box 5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1" name="Text Box 1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4" name="Text Box 5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5" name="Text Box 5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6" name="Text Box 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7" name="Text Box 5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59" name="Text Box 5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4" name="Text Box 5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8" name="Text Box 5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69" name="Text Box 1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0" name="Text Box 5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8" name="Text Box 5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79" name="Text Box 5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1" name="Text Box 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3" name="Text Box 5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7" name="Text Box 1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32</xdr:row>
      <xdr:rowOff>0</xdr:rowOff>
    </xdr:from>
    <xdr:to>
      <xdr:col>6</xdr:col>
      <xdr:colOff>666750</xdr:colOff>
      <xdr:row>32</xdr:row>
      <xdr:rowOff>66675</xdr:rowOff>
    </xdr:to>
    <xdr:sp macro="" textlink="">
      <xdr:nvSpPr>
        <xdr:cNvPr id="192" name="Text Box 5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1990725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3" name="Text Box 5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4" name="Text Box 5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0" name="Text Box 5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1" name="Text Box 1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7" name="Text Box 5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5" name="Text Box 5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6" name="Text Box 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7" name="Text Box 5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19" name="Text Box 11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0" name="Text Box 5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8" name="Text Box 5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2" name="Text Box 5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5" name="Text Box 5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7" name="Text Box 11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8" name="Text Box 5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39" name="Text Box 5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0" name="Text Box 5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32</xdr:row>
      <xdr:rowOff>0</xdr:rowOff>
    </xdr:from>
    <xdr:to>
      <xdr:col>6</xdr:col>
      <xdr:colOff>666750</xdr:colOff>
      <xdr:row>32</xdr:row>
      <xdr:rowOff>66675</xdr:rowOff>
    </xdr:to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990725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49" name="Text Box 5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1" name="Text Box 1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5" name="Text Box 5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7" name="Text Box 5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59" name="Text Box 5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3" name="Text Box 5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4" name="Text Box 5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5" name="Text Box 5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7" name="Text Box 5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69" name="Text Box 11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2" name="Text Box 5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3" name="Text Box 5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5" name="Text Box 5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7" name="Text Box 5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79" name="Text Box 5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1" name="Text Box 5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3" name="Text Box 5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5" name="Text Box 5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7" name="Text Box 1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8" name="Text Box 5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89" name="Text Box 5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47625</xdr:colOff>
      <xdr:row>32</xdr:row>
      <xdr:rowOff>0</xdr:rowOff>
    </xdr:from>
    <xdr:to>
      <xdr:col>6</xdr:col>
      <xdr:colOff>666750</xdr:colOff>
      <xdr:row>32</xdr:row>
      <xdr:rowOff>66675</xdr:rowOff>
    </xdr:to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990725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3" name="Text Box 5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5" name="Text Box 5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7" name="Text Box 5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299" name="Text Box 5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619125</xdr:colOff>
      <xdr:row>32</xdr:row>
      <xdr:rowOff>66675</xdr:rowOff>
    </xdr:to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9431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4" name="Text Box 5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5" name="Text Box 5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7" name="Text Box 5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8" name="Text Box 5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09" name="Text Box 5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2" name="Text Box 5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3" name="Text Box 5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19" name="Text Box 5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0" name="Text Box 5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1" name="Text Box 5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3" name="Text Box 5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5" name="Text Box 5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7" name="Text Box 5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29" name="Text Box 5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3" name="Text Box 5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4" name="Text Box 5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5" name="Text Box 5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7" name="Text Box 5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39" name="Text Box 5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0" name="Text Box 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1" name="Text Box 5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3" name="Text Box 5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4" name="Text Box 5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5" name="Text Box 5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7" name="Text Box 5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48" name="Text Box 5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49" name="Text Box 1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2" name="Text Box 5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3" name="Text Box 5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6" name="Text Box 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7" name="Text Box 5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59" name="Text Box 11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0" name="Text Box 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1" name="Text Box 5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4" name="Text Box 5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5" name="Text Box 5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6" name="Text Box 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7" name="Text Box 5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8" name="Text Box 5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69" name="Text Box 1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70" name="Text Box 5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30</xdr:row>
      <xdr:rowOff>0</xdr:rowOff>
    </xdr:from>
    <xdr:to>
      <xdr:col>17</xdr:col>
      <xdr:colOff>619125</xdr:colOff>
      <xdr:row>30</xdr:row>
      <xdr:rowOff>66675</xdr:rowOff>
    </xdr:to>
    <xdr:sp macro="" textlink="">
      <xdr:nvSpPr>
        <xdr:cNvPr id="372" name="Text Box 5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60972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3" name="Text Box 1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5" name="Text Box 5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6" name="Text Box 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7" name="Text Box 5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8" name="Text Box 5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0" name="Text Box 5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2" name="Text Box 5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3" name="Text Box 1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4" name="Text Box 5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5" name="Text Box 5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6" name="Text Box 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7" name="Text Box 5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0" name="Text Box 5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2" name="Text Box 5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3" name="Text Box 11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4" name="Text Box 5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5" name="Text Box 5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6" name="Text Box 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619125</xdr:colOff>
      <xdr:row>29</xdr:row>
      <xdr:rowOff>66675</xdr:rowOff>
    </xdr:to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29</xdr:row>
      <xdr:rowOff>19050</xdr:rowOff>
    </xdr:from>
    <xdr:to>
      <xdr:col>16</xdr:col>
      <xdr:colOff>619125</xdr:colOff>
      <xdr:row>29</xdr:row>
      <xdr:rowOff>85725</xdr:rowOff>
    </xdr:to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1734800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399" name="Text Box 5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0" name="Text Box 5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2" name="Text Box 5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4" name="Text Box 5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5" name="Text Box 5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7" name="Text Box 5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8" name="Text Box 5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09" name="Text Box 5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0" name="Text Box 5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2" name="Text Box 5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3" name="Text Box 5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4" name="Text Box 5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5" name="Text Box 5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6" name="Text Box 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7" name="Text Box 5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8" name="Text Box 5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19" name="Text Box 5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1" name="Text Box 5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4" name="Text Box 5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5" name="Text Box 5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7" name="Text Box 5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8" name="Text Box 5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29" name="Text Box 5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0" name="Text Box 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3" name="Text Box 5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4" name="Text Box 5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5" name="Text Box 5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6" name="Text Box 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7" name="Text Box 5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8" name="Text Box 5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39" name="Text Box 5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0" name="Text Box 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2" name="Text Box 5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4" name="Text Box 5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7" name="Text Box 11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8" name="Text Box 5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49" name="Text Box 5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0" name="Text Box 5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2" name="Text Box 5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3" name="Text Box 5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4" name="Text Box 5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5" name="Text Box 5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6" name="Text Box 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7" name="Text Box 11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8" name="Text Box 5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0" name="Text Box 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1" name="Text Box 5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2" name="Text Box 5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3" name="Text Box 5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4" name="Text Box 5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5" name="Text Box 5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6" name="Text Box 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7" name="Text Box 11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8" name="Text Box 5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69" name="Text Box 5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2" name="Text Box 5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4" name="Text Box 5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7" name="Text Box 5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8" name="Text Box 5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79" name="Text Box 5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1" name="Text Box 5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2" name="Text Box 5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3" name="Text Box 11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4" name="Text Box 5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5" name="Text Box 5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7" name="Text Box 5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8" name="Text Box 5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2" name="Text Box 5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3" name="Text Box 11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5" name="Text Box 5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6" name="Text Box 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7" name="Text Box 5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619125</xdr:colOff>
      <xdr:row>32</xdr:row>
      <xdr:rowOff>66675</xdr:rowOff>
    </xdr:to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1734800" y="11858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499" name="Text Box 11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0" name="Text Box 5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3" name="Text Box 5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4" name="Text Box 5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7" name="Text Box 5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8" name="Text Box 5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09" name="Text Box 1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0" name="Text Box 5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1" name="Text Box 5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3" name="Text Box 5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5" name="Text Box 5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7" name="Text Box 5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19" name="Text Box 11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0" name="Text Box 5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1" name="Text Box 5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3" name="Text Box 5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19050</xdr:rowOff>
    </xdr:from>
    <xdr:to>
      <xdr:col>7</xdr:col>
      <xdr:colOff>619125</xdr:colOff>
      <xdr:row>29</xdr:row>
      <xdr:rowOff>85725</xdr:rowOff>
    </xdr:to>
    <xdr:sp macro="" textlink="">
      <xdr:nvSpPr>
        <xdr:cNvPr id="524" name="Text Box 5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6019800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29" name="Text Box 5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1" name="Text Box 5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3" name="Text Box 5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5" name="Text Box 1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6" name="Text Box 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7" name="Text Box 5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39" name="Text Box 5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1" name="Text Box 5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3" name="Text Box 5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7" name="Text Box 5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60198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29</xdr:row>
      <xdr:rowOff>19050</xdr:rowOff>
    </xdr:from>
    <xdr:to>
      <xdr:col>7</xdr:col>
      <xdr:colOff>666750</xdr:colOff>
      <xdr:row>29</xdr:row>
      <xdr:rowOff>85725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6067425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1" name="Text Box 11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2" name="Text Box 5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3" name="Text Box 5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5" name="Text Box 5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7" name="Text Box 5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8" name="Text Box 5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59" name="Text Box 5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1" name="Text Box 11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3" name="Text Box 5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4" name="Text Box 5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5" name="Text Box 5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7" name="Text Box 5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8" name="Text Box 5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69" name="Text Box 5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0" name="Text Box 5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1" name="Text Box 11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2" name="Text Box 5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3" name="Text Box 5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619125</xdr:colOff>
      <xdr:row>29</xdr:row>
      <xdr:rowOff>66675</xdr:rowOff>
    </xdr:to>
    <xdr:sp macro="" textlink="">
      <xdr:nvSpPr>
        <xdr:cNvPr id="575" name="Text Box 5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887730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</xdr:colOff>
      <xdr:row>29</xdr:row>
      <xdr:rowOff>19050</xdr:rowOff>
    </xdr:from>
    <xdr:to>
      <xdr:col>9</xdr:col>
      <xdr:colOff>666750</xdr:colOff>
      <xdr:row>29</xdr:row>
      <xdr:rowOff>85725</xdr:rowOff>
    </xdr:to>
    <xdr:sp macro="" textlink="">
      <xdr:nvSpPr>
        <xdr:cNvPr id="576" name="Text Box 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8924925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78" name="Text Box 5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79" name="Text Box 5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0" name="Text Box 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1" name="Text Box 5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2" name="Text Box 5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3" name="Text Box 5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4" name="Text Box 5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5" name="Text Box 5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6" name="Text Box 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7" name="Text Box 11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8" name="Text Box 5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89" name="Text Box 5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0" name="Text Box 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1" name="Text Box 5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2" name="Text Box 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619125</xdr:colOff>
      <xdr:row>32</xdr:row>
      <xdr:rowOff>66675</xdr:rowOff>
    </xdr:to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6019800" y="126777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4" name="Text Box 11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5" name="Text Box 5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6" name="Text Box 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8" name="Text Box 5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599" name="Text Box 5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0" name="Text Box 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1" name="Text Box 5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2" name="Text Box 5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3" name="Text Box 5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4" name="Text Box 11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5" name="Text Box 5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6" name="Text Box 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7" name="Text Box 5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8" name="Text Box 5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09" name="Text Box 5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0" name="Text Box 5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1" name="Text Box 5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2" name="Text Box 5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3" name="Text Box 5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4" name="Text Box 11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6" name="Text Box 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7" name="Text Box 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18" name="Text Box 5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30</xdr:row>
      <xdr:rowOff>19050</xdr:rowOff>
    </xdr:from>
    <xdr:to>
      <xdr:col>7</xdr:col>
      <xdr:colOff>666750</xdr:colOff>
      <xdr:row>30</xdr:row>
      <xdr:rowOff>85725</xdr:rowOff>
    </xdr:to>
    <xdr:sp macro="" textlink="">
      <xdr:nvSpPr>
        <xdr:cNvPr id="619" name="Text Box 5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6067425" y="11115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0" name="Text Box 11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1" name="Text Box 5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2" name="Text Box 5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3" name="Text Box 5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4" name="Text Box 5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5" name="Text Box 5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7" name="Text Box 5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8" name="Text Box 5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29" name="Text Box 5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0" name="Text Box 11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1" name="Text Box 5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2" name="Text Box 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5" name="Text Box 5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6" name="Text Box 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39" name="Text Box 5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0" name="Text Box 11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1" name="Text Box 5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2" name="Text Box 5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3" name="Text Box 5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644" name="Text Box 5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</xdr:colOff>
      <xdr:row>30</xdr:row>
      <xdr:rowOff>19050</xdr:rowOff>
    </xdr:from>
    <xdr:to>
      <xdr:col>9</xdr:col>
      <xdr:colOff>666750</xdr:colOff>
      <xdr:row>30</xdr:row>
      <xdr:rowOff>85725</xdr:rowOff>
    </xdr:to>
    <xdr:sp macro="" textlink="">
      <xdr:nvSpPr>
        <xdr:cNvPr id="645" name="Text Box 5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8924925" y="11115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46" name="Text Box 11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48" name="Text Box 5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49" name="Text Box 5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0" name="Text Box 5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1" name="Text Box 5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2" name="Text Box 5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3" name="Text Box 5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4" name="Text Box 5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5" name="Text Box 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6" name="Text Box 11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7" name="Text Box 5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8" name="Text Box 5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0" name="Text Box 5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1" name="Text Box 5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2" name="Text Box 5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3" name="Text Box 5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4" name="Text Box 5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5" name="Text Box 5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6" name="Text Box 1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7" name="Text Box 5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8" name="Text Box 5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619125</xdr:colOff>
      <xdr:row>29</xdr:row>
      <xdr:rowOff>66675</xdr:rowOff>
    </xdr:to>
    <xdr:sp macro="" textlink="">
      <xdr:nvSpPr>
        <xdr:cNvPr id="670" name="Text Box 5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45910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1" name="Text Box 11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2" name="Text Box 5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3" name="Text Box 5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4" name="Text Box 5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5" name="Text Box 5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6" name="Text Box 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7" name="Text Box 5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8" name="Text Box 5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79" name="Text Box 5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0" name="Text Box 5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1" name="Text Box 1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3" name="Text Box 5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4" name="Text Box 5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5" name="Text Box 5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6" name="Text Box 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7" name="Text Box 5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8" name="Text Box 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89" name="Text Box 5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0" name="Text Box 5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1" name="Text Box 11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2" name="Text Box 5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3" name="Text Box 5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4" name="Text Box 5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695" name="Text Box 5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4591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696" name="Text Box 11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697" name="Text Box 5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698" name="Text Box 5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699" name="Text Box 5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0" name="Text Box 5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1" name="Text Box 5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2" name="Text Box 5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4" name="Text Box 5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5" name="Text Box 5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6" name="Text Box 11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8" name="Text Box 5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09" name="Text Box 5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0" name="Text Box 5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1" name="Text Box 5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2" name="Text Box 5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3" name="Text Box 5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4" name="Text Box 5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5" name="Text Box 5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6" name="Text Box 11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7" name="Text Box 5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8" name="Text Box 5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19" name="Text Box 5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0" name="Text Box 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19050</xdr:rowOff>
    </xdr:from>
    <xdr:to>
      <xdr:col>8</xdr:col>
      <xdr:colOff>619125</xdr:colOff>
      <xdr:row>29</xdr:row>
      <xdr:rowOff>85725</xdr:rowOff>
    </xdr:to>
    <xdr:sp macro="" textlink="">
      <xdr:nvSpPr>
        <xdr:cNvPr id="721" name="Text Box 5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7448550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2" name="Text Box 1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3" name="Text Box 5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4" name="Text Box 5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6" name="Text Box 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7" name="Text Box 5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8" name="Text Box 5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29" name="Text Box 5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0" name="Text Box 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1" name="Text Box 5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2" name="Text Box 1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3" name="Text Box 5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4" name="Text Box 5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5" name="Text Box 5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6" name="Text Box 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8" name="Text Box 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39" name="Text Box 5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0" name="Text Box 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1" name="Text Box 5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2" name="Text Box 1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3" name="Text Box 5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4" name="Text Box 5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5" name="Text Box 5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619125</xdr:colOff>
      <xdr:row>29</xdr:row>
      <xdr:rowOff>66675</xdr:rowOff>
    </xdr:to>
    <xdr:sp macro="" textlink="">
      <xdr:nvSpPr>
        <xdr:cNvPr id="746" name="Text Box 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7448550" y="10715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</xdr:colOff>
      <xdr:row>29</xdr:row>
      <xdr:rowOff>19050</xdr:rowOff>
    </xdr:from>
    <xdr:to>
      <xdr:col>8</xdr:col>
      <xdr:colOff>666750</xdr:colOff>
      <xdr:row>29</xdr:row>
      <xdr:rowOff>85725</xdr:rowOff>
    </xdr:to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7496175" y="10734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48" name="Text Box 11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49" name="Text Box 5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0" name="Text Box 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1" name="Text Box 5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2" name="Text Box 5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3" name="Text Box 5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4" name="Text Box 5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5" name="Text Box 5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6" name="Text Box 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7" name="Text Box 5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8" name="Text Box 11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59" name="Text Box 5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0" name="Text Box 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1" name="Text Box 5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2" name="Text Box 5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3" name="Text Box 5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4" name="Text Box 11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5" name="Text Box 5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6" name="Text Box 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7" name="Text Box 5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1" name="Text Box 5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2" name="Text Box 5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3" name="Text Box 5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4" name="Text Box 11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5" name="Text Box 5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6" name="Text Box 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7" name="Text Box 5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79" name="Text Box 5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0" name="Text Box 5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2" name="Text Box 5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3" name="Text Box 5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4" name="Text Box 11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5" name="Text Box 5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6" name="Text Box 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7" name="Text Box 5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788" name="Text Box 5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47625</xdr:colOff>
      <xdr:row>30</xdr:row>
      <xdr:rowOff>19050</xdr:rowOff>
    </xdr:from>
    <xdr:to>
      <xdr:col>8</xdr:col>
      <xdr:colOff>666750</xdr:colOff>
      <xdr:row>30</xdr:row>
      <xdr:rowOff>85725</xdr:rowOff>
    </xdr:to>
    <xdr:sp macro="" textlink="">
      <xdr:nvSpPr>
        <xdr:cNvPr id="789" name="Text Box 5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7496175" y="1111567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0" name="Text Box 11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2" name="Text Box 5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3" name="Text Box 5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4" name="Text Box 5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5" name="Text Box 5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6" name="Text Box 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7" name="Text Box 5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8" name="Text Box 5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799" name="Text Box 5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0" name="Text Box 11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1" name="Text Box 5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3" name="Text Box 5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4" name="Text Box 5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5" name="Text Box 5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6" name="Text Box 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7" name="Text Box 5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8" name="Text Box 5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09" name="Text Box 5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0" name="Text Box 11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1" name="Text Box 5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2" name="Text Box 5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619125</xdr:colOff>
      <xdr:row>30</xdr:row>
      <xdr:rowOff>66675</xdr:rowOff>
    </xdr:to>
    <xdr:sp macro="" textlink="">
      <xdr:nvSpPr>
        <xdr:cNvPr id="814" name="Text Box 5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60198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5" name="Text Box 11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6" name="Text Box 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7" name="Text Box 5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8" name="Text Box 5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19" name="Text Box 5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0" name="Text Box 5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1" name="Text Box 5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3" name="Text Box 5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4" name="Text Box 5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5" name="Text Box 11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6" name="Text Box 5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7" name="Text Box 5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8" name="Text Box 5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29" name="Text Box 5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0" name="Text Box 5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1" name="Text Box 5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2" name="Text Box 5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3" name="Text Box 5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4" name="Text Box 5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5" name="Text Box 11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6" name="Text Box 5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7" name="Text Box 5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8" name="Text Box 5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619125</xdr:colOff>
      <xdr:row>30</xdr:row>
      <xdr:rowOff>66675</xdr:rowOff>
    </xdr:to>
    <xdr:sp macro="" textlink="">
      <xdr:nvSpPr>
        <xdr:cNvPr id="839" name="Text Box 5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74485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0" name="Text Box 11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1" name="Text Box 5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3" name="Text Box 5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4" name="Text Box 5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5" name="Text Box 5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6" name="Text Box 5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7" name="Text Box 5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8" name="Text Box 5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49" name="Text Box 5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0" name="Text Box 11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1" name="Text Box 5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2" name="Text Box 5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3" name="Text Box 5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4" name="Text Box 5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5" name="Text Box 5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6" name="Text Box 5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8" name="Text Box 5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59" name="Text Box 5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0" name="Text Box 11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1" name="Text Box 5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2" name="Text Box 5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3" name="Text Box 5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619125</xdr:colOff>
      <xdr:row>30</xdr:row>
      <xdr:rowOff>66675</xdr:rowOff>
    </xdr:to>
    <xdr:sp macro="" textlink="">
      <xdr:nvSpPr>
        <xdr:cNvPr id="864" name="Text Box 5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887730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5" name="Text Box 11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6" name="Text Box 5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7" name="Text Box 5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8" name="Text Box 5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69" name="Text Box 5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0" name="Text Box 5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1" name="Text Box 5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2" name="Text Box 5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3" name="Text Box 5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4" name="Text Box 5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5" name="Text Box 11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6" name="Text Box 5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8" name="Text Box 5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0" name="Text Box 5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1" name="Text Box 5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2" name="Text Box 5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3" name="Text Box 5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4" name="Text Box 5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6" name="Text Box 5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7" name="Text Box 5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8" name="Text Box 5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619125</xdr:colOff>
      <xdr:row>30</xdr:row>
      <xdr:rowOff>66675</xdr:rowOff>
    </xdr:to>
    <xdr:sp macro="" textlink="">
      <xdr:nvSpPr>
        <xdr:cNvPr id="889" name="Text Box 5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10306050" y="11096625"/>
          <a:ext cx="6191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53"/>
  <sheetViews>
    <sheetView tabSelected="1" view="pageBreakPreview" topLeftCell="F1" zoomScaleSheetLayoutView="100" workbookViewId="0">
      <selection activeCell="Q7" sqref="Q7"/>
    </sheetView>
  </sheetViews>
  <sheetFormatPr defaultRowHeight="13.5"/>
  <cols>
    <col min="1" max="1" width="5.125" style="1" customWidth="1"/>
    <col min="2" max="4" width="2" style="1" customWidth="1"/>
    <col min="5" max="5" width="4.125" style="1" customWidth="1"/>
    <col min="6" max="6" width="10.25" style="1" customWidth="1"/>
    <col min="7" max="7" width="34.75" style="17" customWidth="1"/>
    <col min="8" max="11" width="18.75" style="87" customWidth="1"/>
    <col min="12" max="16" width="36" style="17" hidden="1" customWidth="1"/>
    <col min="17" max="17" width="57.25" style="1" customWidth="1"/>
    <col min="18" max="18" width="9" style="1"/>
    <col min="19" max="19" width="11.25" style="1" bestFit="1" customWidth="1"/>
    <col min="20" max="21" width="14.125" style="1" bestFit="1" customWidth="1"/>
    <col min="22" max="16384" width="9" style="1"/>
  </cols>
  <sheetData>
    <row r="1" spans="1:21" ht="25.5" customHeight="1">
      <c r="A1" s="111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3"/>
    </row>
    <row r="2" spans="1:21" s="77" customFormat="1" ht="11.25" customHeight="1" thickBot="1">
      <c r="A2" s="3"/>
      <c r="B2" s="3"/>
      <c r="C2" s="3"/>
      <c r="D2" s="3"/>
      <c r="E2" s="3"/>
      <c r="F2" s="3"/>
      <c r="G2" s="89"/>
      <c r="H2" s="3"/>
      <c r="I2" s="3"/>
      <c r="J2" s="3"/>
      <c r="K2" s="3"/>
      <c r="L2" s="3"/>
      <c r="M2" s="3"/>
      <c r="N2" s="3"/>
      <c r="O2" s="3"/>
      <c r="P2" s="3"/>
      <c r="Q2" s="42"/>
    </row>
    <row r="3" spans="1:21" s="77" customFormat="1" ht="15" customHeight="1">
      <c r="A3" s="114" t="s">
        <v>0</v>
      </c>
      <c r="B3" s="115"/>
      <c r="C3" s="115"/>
      <c r="D3" s="115"/>
      <c r="E3" s="115"/>
      <c r="F3" s="116"/>
      <c r="G3" s="120" t="s">
        <v>16</v>
      </c>
      <c r="H3" s="120" t="s">
        <v>57</v>
      </c>
      <c r="I3" s="120" t="s">
        <v>59</v>
      </c>
      <c r="J3" s="123" t="s">
        <v>15</v>
      </c>
      <c r="K3" s="120" t="s">
        <v>17</v>
      </c>
      <c r="L3" s="90"/>
      <c r="M3" s="90"/>
      <c r="N3" s="90"/>
      <c r="O3" s="90"/>
      <c r="P3" s="90"/>
      <c r="Q3" s="125" t="s">
        <v>19</v>
      </c>
    </row>
    <row r="4" spans="1:21" s="77" customFormat="1" ht="15" customHeight="1">
      <c r="A4" s="117"/>
      <c r="B4" s="118"/>
      <c r="C4" s="118"/>
      <c r="D4" s="118"/>
      <c r="E4" s="118"/>
      <c r="F4" s="119"/>
      <c r="G4" s="121"/>
      <c r="H4" s="122"/>
      <c r="I4" s="122"/>
      <c r="J4" s="124"/>
      <c r="K4" s="122"/>
      <c r="L4" s="5"/>
      <c r="M4" s="5"/>
      <c r="N4" s="5"/>
      <c r="O4" s="5"/>
      <c r="P4" s="5"/>
      <c r="Q4" s="126"/>
    </row>
    <row r="5" spans="1:21" s="77" customFormat="1" ht="30" customHeight="1">
      <c r="A5" s="127" t="s">
        <v>1</v>
      </c>
      <c r="B5" s="130" t="s">
        <v>41</v>
      </c>
      <c r="C5" s="130"/>
      <c r="D5" s="130"/>
      <c r="E5" s="130"/>
      <c r="F5" s="130"/>
      <c r="G5" s="60"/>
      <c r="H5" s="103">
        <v>12380</v>
      </c>
      <c r="I5" s="103">
        <v>12380</v>
      </c>
      <c r="J5" s="103">
        <v>12380</v>
      </c>
      <c r="K5" s="61">
        <f>SUM(H5:J5)</f>
        <v>37140</v>
      </c>
      <c r="L5" s="56"/>
      <c r="M5" s="56"/>
      <c r="N5" s="56"/>
      <c r="O5" s="56"/>
      <c r="P5" s="56"/>
      <c r="Q5" s="57" t="s">
        <v>84</v>
      </c>
    </row>
    <row r="6" spans="1:21" s="77" customFormat="1" ht="30" customHeight="1">
      <c r="A6" s="128"/>
      <c r="B6" s="131" t="s">
        <v>37</v>
      </c>
      <c r="C6" s="132"/>
      <c r="D6" s="132"/>
      <c r="E6" s="132"/>
      <c r="F6" s="133"/>
      <c r="G6" s="62" t="s">
        <v>52</v>
      </c>
      <c r="H6" s="7">
        <f>H5*157</f>
        <v>1943660</v>
      </c>
      <c r="I6" s="7">
        <f>I5*193</f>
        <v>2389340</v>
      </c>
      <c r="J6" s="7">
        <f>J5*183</f>
        <v>2265540</v>
      </c>
      <c r="K6" s="7">
        <f>SUM(H6:J6)</f>
        <v>6598540</v>
      </c>
      <c r="L6" s="6"/>
      <c r="M6" s="6"/>
      <c r="N6" s="6"/>
      <c r="O6" s="6"/>
      <c r="P6" s="6"/>
      <c r="Q6" s="22" t="s">
        <v>93</v>
      </c>
    </row>
    <row r="7" spans="1:21" s="77" customFormat="1" ht="30" customHeight="1">
      <c r="A7" s="128"/>
      <c r="B7" s="134" t="s">
        <v>49</v>
      </c>
      <c r="C7" s="135"/>
      <c r="D7" s="135"/>
      <c r="E7" s="135"/>
      <c r="F7" s="136"/>
      <c r="G7" s="79" t="s">
        <v>74</v>
      </c>
      <c r="H7" s="7">
        <f>(H6*0.5/12)</f>
        <v>80985.833333333328</v>
      </c>
      <c r="I7" s="7">
        <f>(I6*0.5/12)</f>
        <v>99555.833333333328</v>
      </c>
      <c r="J7" s="7">
        <f>(J6*0.5/12)</f>
        <v>94397.5</v>
      </c>
      <c r="K7" s="7">
        <f>SUM(H7:J7)</f>
        <v>274939.16666666663</v>
      </c>
      <c r="L7" s="6"/>
      <c r="M7" s="6"/>
      <c r="N7" s="6"/>
      <c r="O7" s="6"/>
      <c r="P7" s="6"/>
      <c r="Q7" s="22"/>
    </row>
    <row r="8" spans="1:21" s="77" customFormat="1" ht="30" customHeight="1">
      <c r="A8" s="128"/>
      <c r="B8" s="137" t="s">
        <v>61</v>
      </c>
      <c r="C8" s="138"/>
      <c r="D8" s="138"/>
      <c r="E8" s="138"/>
      <c r="F8" s="139"/>
      <c r="G8" s="79" t="s">
        <v>75</v>
      </c>
      <c r="H8" s="7">
        <f>((H6+H7)/157*6*11/12)/2</f>
        <v>35463.541666666664</v>
      </c>
      <c r="I8" s="7">
        <f>((I6+I7)/170*6*11/12)</f>
        <v>80523.100490196099</v>
      </c>
      <c r="J8" s="7">
        <f>((J6+J7)/157*6*11/12)</f>
        <v>82672.96974522293</v>
      </c>
      <c r="K8" s="7">
        <f>SUM(H8:J8)</f>
        <v>198659.61190208571</v>
      </c>
      <c r="L8" s="8"/>
      <c r="M8" s="8"/>
      <c r="N8" s="8"/>
      <c r="O8" s="8"/>
      <c r="P8" s="8"/>
      <c r="Q8" s="22"/>
    </row>
    <row r="9" spans="1:21" s="77" customFormat="1" ht="30" customHeight="1">
      <c r="A9" s="128"/>
      <c r="B9" s="140" t="s">
        <v>22</v>
      </c>
      <c r="C9" s="141"/>
      <c r="D9" s="141"/>
      <c r="E9" s="141"/>
      <c r="F9" s="142"/>
      <c r="G9" s="33" t="s">
        <v>50</v>
      </c>
      <c r="H9" s="10">
        <f t="shared" ref="H9:J9" si="0">SUM(H6:H8)</f>
        <v>2060109.375</v>
      </c>
      <c r="I9" s="10">
        <f t="shared" si="0"/>
        <v>2569418.9338235296</v>
      </c>
      <c r="J9" s="10">
        <f t="shared" si="0"/>
        <v>2442610.4697452229</v>
      </c>
      <c r="K9" s="10">
        <f>SUM(K6:P8)</f>
        <v>7072138.778568753</v>
      </c>
      <c r="L9" s="9"/>
      <c r="M9" s="9"/>
      <c r="N9" s="9"/>
      <c r="O9" s="9"/>
      <c r="P9" s="9"/>
      <c r="Q9" s="23"/>
    </row>
    <row r="10" spans="1:21" s="77" customFormat="1" ht="30" customHeight="1">
      <c r="A10" s="128"/>
      <c r="B10" s="143" t="s">
        <v>12</v>
      </c>
      <c r="C10" s="144"/>
      <c r="D10" s="144"/>
      <c r="E10" s="144"/>
      <c r="F10" s="145"/>
      <c r="G10" s="34" t="s">
        <v>76</v>
      </c>
      <c r="H10" s="7">
        <f>(H9/12)</f>
        <v>171675.78125</v>
      </c>
      <c r="I10" s="7">
        <f>(I9/12)</f>
        <v>214118.24448529413</v>
      </c>
      <c r="J10" s="31">
        <f>(J9/12)</f>
        <v>203550.87247876858</v>
      </c>
      <c r="K10" s="31">
        <f>SUM(H10:J10)</f>
        <v>589344.89821406268</v>
      </c>
      <c r="L10" s="78"/>
      <c r="M10" s="78"/>
      <c r="N10" s="78"/>
      <c r="O10" s="78"/>
      <c r="P10" s="78"/>
      <c r="Q10" s="24"/>
    </row>
    <row r="11" spans="1:21" s="77" customFormat="1" ht="30" customHeight="1">
      <c r="A11" s="129"/>
      <c r="B11" s="146" t="s">
        <v>2</v>
      </c>
      <c r="C11" s="147"/>
      <c r="D11" s="147"/>
      <c r="E11" s="147"/>
      <c r="F11" s="148"/>
      <c r="G11" s="35" t="s">
        <v>51</v>
      </c>
      <c r="H11" s="12">
        <f t="shared" ref="H11:K11" si="1">H9+H10</f>
        <v>2231785.15625</v>
      </c>
      <c r="I11" s="12">
        <f t="shared" si="1"/>
        <v>2783537.1783088236</v>
      </c>
      <c r="J11" s="12">
        <f t="shared" si="1"/>
        <v>2646161.3422239916</v>
      </c>
      <c r="K11" s="12">
        <f t="shared" si="1"/>
        <v>7661483.6767828157</v>
      </c>
      <c r="L11" s="11"/>
      <c r="M11" s="11"/>
      <c r="N11" s="11"/>
      <c r="O11" s="11"/>
      <c r="P11" s="11"/>
      <c r="Q11" s="25"/>
    </row>
    <row r="12" spans="1:21" s="19" customFormat="1" ht="30" customHeight="1">
      <c r="A12" s="185" t="s">
        <v>3</v>
      </c>
      <c r="B12" s="188" t="s">
        <v>4</v>
      </c>
      <c r="C12" s="189"/>
      <c r="D12" s="189"/>
      <c r="E12" s="189"/>
      <c r="F12" s="190"/>
      <c r="G12" s="105" t="s">
        <v>81</v>
      </c>
      <c r="H12" s="18">
        <f>H9*3.545%</f>
        <v>73030.877343750006</v>
      </c>
      <c r="I12" s="18">
        <f>I9*3.545%</f>
        <v>91085.90120404413</v>
      </c>
      <c r="J12" s="18">
        <f>J9*3.545%</f>
        <v>86590.541152468155</v>
      </c>
      <c r="K12" s="18">
        <f>K9*3.545%</f>
        <v>250707.31970026231</v>
      </c>
      <c r="L12" s="13"/>
      <c r="M12" s="13"/>
      <c r="N12" s="13"/>
      <c r="O12" s="13"/>
      <c r="P12" s="13"/>
      <c r="Q12" s="26" t="s">
        <v>45</v>
      </c>
      <c r="S12" s="102">
        <f>K12*12</f>
        <v>3008487.8364031478</v>
      </c>
      <c r="T12" s="109">
        <f>S12*100/87.745</f>
        <v>3428671.5327404952</v>
      </c>
      <c r="U12" s="108"/>
    </row>
    <row r="13" spans="1:21" s="19" customFormat="1" ht="30" customHeight="1">
      <c r="A13" s="186"/>
      <c r="B13" s="191" t="s">
        <v>18</v>
      </c>
      <c r="C13" s="192"/>
      <c r="D13" s="192"/>
      <c r="E13" s="192"/>
      <c r="F13" s="193"/>
      <c r="G13" s="36" t="s">
        <v>69</v>
      </c>
      <c r="H13" s="18">
        <f t="shared" ref="H13:K13" si="2">H9*4.5%</f>
        <v>92704.921875</v>
      </c>
      <c r="I13" s="18">
        <f t="shared" si="2"/>
        <v>115623.85202205883</v>
      </c>
      <c r="J13" s="18">
        <f t="shared" si="2"/>
        <v>109917.47113853502</v>
      </c>
      <c r="K13" s="18">
        <f t="shared" si="2"/>
        <v>318246.24503559386</v>
      </c>
      <c r="L13" s="18">
        <f t="shared" ref="L13:P13" si="3">L9*5.5%</f>
        <v>0</v>
      </c>
      <c r="M13" s="18">
        <f t="shared" si="3"/>
        <v>0</v>
      </c>
      <c r="N13" s="18">
        <f t="shared" si="3"/>
        <v>0</v>
      </c>
      <c r="O13" s="18">
        <f t="shared" si="3"/>
        <v>0</v>
      </c>
      <c r="P13" s="18">
        <f t="shared" si="3"/>
        <v>0</v>
      </c>
      <c r="Q13" s="26" t="s">
        <v>21</v>
      </c>
      <c r="S13" s="102">
        <f t="shared" ref="S13:S18" si="4">K13*12</f>
        <v>3818954.9404271264</v>
      </c>
      <c r="T13" s="109">
        <f>S13*100/87.745</f>
        <v>4352333.3984011924</v>
      </c>
    </row>
    <row r="14" spans="1:21" s="19" customFormat="1" ht="30" customHeight="1">
      <c r="A14" s="186"/>
      <c r="B14" s="194" t="s">
        <v>13</v>
      </c>
      <c r="C14" s="195"/>
      <c r="D14" s="195"/>
      <c r="E14" s="195"/>
      <c r="F14" s="196"/>
      <c r="G14" s="104" t="s">
        <v>80</v>
      </c>
      <c r="H14" s="20">
        <f>H9*0.9%</f>
        <v>18540.984375000004</v>
      </c>
      <c r="I14" s="20">
        <f>I9*0.9%</f>
        <v>23124.770404411771</v>
      </c>
      <c r="J14" s="20">
        <f>J9*0.9%</f>
        <v>21983.494227707008</v>
      </c>
      <c r="K14" s="20">
        <f>K9*0.9%</f>
        <v>63649.249007118786</v>
      </c>
      <c r="L14" s="13"/>
      <c r="M14" s="13"/>
      <c r="N14" s="13"/>
      <c r="O14" s="13"/>
      <c r="P14" s="13"/>
      <c r="Q14" s="27" t="s">
        <v>44</v>
      </c>
      <c r="S14" s="102">
        <f t="shared" si="4"/>
        <v>763790.98808542546</v>
      </c>
    </row>
    <row r="15" spans="1:21" s="19" customFormat="1" ht="30" customHeight="1">
      <c r="A15" s="186"/>
      <c r="B15" s="149" t="s">
        <v>14</v>
      </c>
      <c r="C15" s="150"/>
      <c r="D15" s="150"/>
      <c r="E15" s="150"/>
      <c r="F15" s="151"/>
      <c r="G15" s="104" t="s">
        <v>80</v>
      </c>
      <c r="H15" s="20">
        <f>H9*0.9%</f>
        <v>18540.984375000004</v>
      </c>
      <c r="I15" s="20">
        <f>I9*0.9%</f>
        <v>23124.770404411771</v>
      </c>
      <c r="J15" s="20">
        <f>J9*0.9%</f>
        <v>21983.494227707008</v>
      </c>
      <c r="K15" s="20">
        <f>K9*0.9%</f>
        <v>63649.249007118786</v>
      </c>
      <c r="L15" s="13"/>
      <c r="M15" s="13"/>
      <c r="N15" s="13"/>
      <c r="O15" s="13"/>
      <c r="P15" s="13"/>
      <c r="Q15" s="27" t="s">
        <v>43</v>
      </c>
      <c r="S15" s="102">
        <f t="shared" si="4"/>
        <v>763790.98808542546</v>
      </c>
    </row>
    <row r="16" spans="1:21" s="19" customFormat="1" ht="30" customHeight="1">
      <c r="A16" s="186"/>
      <c r="B16" s="152" t="s">
        <v>5</v>
      </c>
      <c r="C16" s="153"/>
      <c r="D16" s="153"/>
      <c r="E16" s="153"/>
      <c r="F16" s="154"/>
      <c r="G16" s="104" t="s">
        <v>82</v>
      </c>
      <c r="H16" s="20">
        <f>H12*12.81%</f>
        <v>9355.2553877343744</v>
      </c>
      <c r="I16" s="20">
        <f>I12*12.81%</f>
        <v>11668.103944238052</v>
      </c>
      <c r="J16" s="20">
        <f>J12*12.81%</f>
        <v>11092.24832163117</v>
      </c>
      <c r="K16" s="20">
        <f>K12*12.81%</f>
        <v>32115.607653603598</v>
      </c>
      <c r="L16" s="13"/>
      <c r="M16" s="13"/>
      <c r="N16" s="13"/>
      <c r="O16" s="13"/>
      <c r="P16" s="13"/>
      <c r="Q16" s="27" t="s">
        <v>20</v>
      </c>
      <c r="S16" s="102">
        <f t="shared" si="4"/>
        <v>385387.29184324318</v>
      </c>
      <c r="T16" s="109">
        <f>S16*100/87.745</f>
        <v>439212.82334405737</v>
      </c>
    </row>
    <row r="17" spans="1:19" s="19" customFormat="1" ht="30" customHeight="1">
      <c r="A17" s="186"/>
      <c r="B17" s="155" t="s">
        <v>10</v>
      </c>
      <c r="C17" s="156"/>
      <c r="D17" s="156"/>
      <c r="E17" s="156"/>
      <c r="F17" s="157"/>
      <c r="G17" s="37" t="s">
        <v>42</v>
      </c>
      <c r="H17" s="20">
        <f>H9*0.06%</f>
        <v>1236.065625</v>
      </c>
      <c r="I17" s="20">
        <f t="shared" ref="I17:K17" si="5">I9*0.06%</f>
        <v>1541.6513602941177</v>
      </c>
      <c r="J17" s="20">
        <f t="shared" si="5"/>
        <v>1465.5662818471337</v>
      </c>
      <c r="K17" s="20">
        <f t="shared" si="5"/>
        <v>4243.2832671412516</v>
      </c>
      <c r="L17" s="13"/>
      <c r="M17" s="13"/>
      <c r="N17" s="13"/>
      <c r="O17" s="13"/>
      <c r="P17" s="13"/>
      <c r="Q17" s="27" t="s">
        <v>46</v>
      </c>
      <c r="S17" s="102">
        <f t="shared" si="4"/>
        <v>50919.399205695023</v>
      </c>
    </row>
    <row r="18" spans="1:19" s="19" customFormat="1" ht="30" customHeight="1">
      <c r="A18" s="186"/>
      <c r="B18" s="197" t="s">
        <v>47</v>
      </c>
      <c r="C18" s="198"/>
      <c r="D18" s="198"/>
      <c r="E18" s="198"/>
      <c r="F18" s="199"/>
      <c r="G18" s="80" t="s">
        <v>48</v>
      </c>
      <c r="H18" s="50">
        <f t="shared" ref="H18:K18" si="6">H9*0.003%</f>
        <v>61.803281250000005</v>
      </c>
      <c r="I18" s="50">
        <f t="shared" si="6"/>
        <v>77.082568014705885</v>
      </c>
      <c r="J18" s="50">
        <f t="shared" si="6"/>
        <v>73.278314092356695</v>
      </c>
      <c r="K18" s="50">
        <f t="shared" si="6"/>
        <v>212.16416335706259</v>
      </c>
      <c r="L18" s="13"/>
      <c r="M18" s="13"/>
      <c r="N18" s="13"/>
      <c r="O18" s="13"/>
      <c r="P18" s="13"/>
      <c r="Q18" s="58" t="s">
        <v>53</v>
      </c>
      <c r="S18" s="102">
        <f t="shared" si="4"/>
        <v>2545.9699602847513</v>
      </c>
    </row>
    <row r="19" spans="1:19" s="77" customFormat="1" ht="30" customHeight="1">
      <c r="A19" s="186"/>
      <c r="B19" s="158" t="s">
        <v>33</v>
      </c>
      <c r="C19" s="159"/>
      <c r="D19" s="159"/>
      <c r="E19" s="159"/>
      <c r="F19" s="160"/>
      <c r="G19" s="38"/>
      <c r="H19" s="12">
        <f t="shared" ref="H19:K19" si="7">SUM(H12:H18)</f>
        <v>213470.89226273436</v>
      </c>
      <c r="I19" s="12">
        <f t="shared" si="7"/>
        <v>266246.13190747338</v>
      </c>
      <c r="J19" s="12">
        <f t="shared" si="7"/>
        <v>253106.09366398788</v>
      </c>
      <c r="K19" s="12">
        <f t="shared" si="7"/>
        <v>732823.11783419561</v>
      </c>
      <c r="L19" s="11"/>
      <c r="M19" s="11"/>
      <c r="N19" s="11"/>
      <c r="O19" s="11"/>
      <c r="P19" s="11"/>
      <c r="Q19" s="28"/>
    </row>
    <row r="20" spans="1:19" s="19" customFormat="1" ht="30" customHeight="1">
      <c r="A20" s="186"/>
      <c r="B20" s="152" t="s">
        <v>32</v>
      </c>
      <c r="C20" s="153"/>
      <c r="D20" s="153"/>
      <c r="E20" s="153"/>
      <c r="F20" s="154"/>
      <c r="G20" s="80" t="s">
        <v>71</v>
      </c>
      <c r="H20" s="50">
        <f>(65000*2*3/12)</f>
        <v>32500</v>
      </c>
      <c r="I20" s="50">
        <f>(65000*2*3/12)</f>
        <v>32500</v>
      </c>
      <c r="J20" s="50">
        <f>(65000*2*3/12)</f>
        <v>32500</v>
      </c>
      <c r="K20" s="51">
        <f>SUM(H20:J20)</f>
        <v>97500</v>
      </c>
      <c r="L20" s="13"/>
      <c r="M20" s="13"/>
      <c r="N20" s="13"/>
      <c r="O20" s="13"/>
      <c r="P20" s="13"/>
      <c r="Q20" s="22" t="s">
        <v>77</v>
      </c>
    </row>
    <row r="21" spans="1:19" s="19" customFormat="1" ht="30" customHeight="1">
      <c r="A21" s="186"/>
      <c r="B21" s="161" t="s">
        <v>86</v>
      </c>
      <c r="C21" s="162"/>
      <c r="D21" s="162"/>
      <c r="E21" s="162"/>
      <c r="F21" s="163"/>
      <c r="G21" s="93" t="s">
        <v>72</v>
      </c>
      <c r="H21" s="98">
        <v>100000</v>
      </c>
      <c r="I21" s="98">
        <v>100000</v>
      </c>
      <c r="J21" s="98">
        <v>100000</v>
      </c>
      <c r="K21" s="99">
        <f>SUM(H21:J21)</f>
        <v>300000</v>
      </c>
      <c r="L21" s="13"/>
      <c r="M21" s="13"/>
      <c r="N21" s="13"/>
      <c r="O21" s="13"/>
      <c r="P21" s="13"/>
      <c r="Q21" s="91"/>
    </row>
    <row r="22" spans="1:19" s="77" customFormat="1" ht="30" customHeight="1">
      <c r="A22" s="186"/>
      <c r="B22" s="158" t="s">
        <v>34</v>
      </c>
      <c r="C22" s="159"/>
      <c r="D22" s="159"/>
      <c r="E22" s="159"/>
      <c r="F22" s="160"/>
      <c r="G22" s="38"/>
      <c r="H22" s="12">
        <f>SUM(H20:H21)</f>
        <v>132500</v>
      </c>
      <c r="I22" s="12">
        <f>SUM(I20:I21)</f>
        <v>132500</v>
      </c>
      <c r="J22" s="12">
        <f>SUM(J20:J21)</f>
        <v>132500</v>
      </c>
      <c r="K22" s="12">
        <f>SUM(K20:P21)</f>
        <v>397500</v>
      </c>
      <c r="L22" s="11"/>
      <c r="M22" s="11"/>
      <c r="N22" s="11"/>
      <c r="O22" s="11"/>
      <c r="P22" s="11"/>
      <c r="Q22" s="28"/>
    </row>
    <row r="23" spans="1:19" s="77" customFormat="1" ht="30" customHeight="1">
      <c r="A23" s="187"/>
      <c r="B23" s="164" t="s">
        <v>64</v>
      </c>
      <c r="C23" s="165"/>
      <c r="D23" s="165"/>
      <c r="E23" s="165"/>
      <c r="F23" s="166"/>
      <c r="G23" s="94" t="s">
        <v>62</v>
      </c>
      <c r="H23" s="75">
        <f>(H6+H7)/157*6*15/12</f>
        <v>96718.75</v>
      </c>
      <c r="I23" s="75">
        <f>(I6+I7)/170*6*15/12</f>
        <v>109804.22794117649</v>
      </c>
      <c r="J23" s="75">
        <f>(J6+J7)/157*6*15/12</f>
        <v>112735.8678343949</v>
      </c>
      <c r="K23" s="95">
        <f>SUM(H23:J23)</f>
        <v>319258.84577557142</v>
      </c>
      <c r="L23" s="11"/>
      <c r="M23" s="11"/>
      <c r="N23" s="11"/>
      <c r="O23" s="11"/>
      <c r="P23" s="11"/>
      <c r="Q23" s="54" t="s">
        <v>70</v>
      </c>
    </row>
    <row r="24" spans="1:19" s="77" customFormat="1" ht="30" customHeight="1">
      <c r="A24" s="167" t="s">
        <v>35</v>
      </c>
      <c r="B24" s="168"/>
      <c r="C24" s="168"/>
      <c r="D24" s="168"/>
      <c r="E24" s="168"/>
      <c r="F24" s="169"/>
      <c r="G24" s="52" t="s">
        <v>63</v>
      </c>
      <c r="H24" s="53">
        <f>H19+H22+H23</f>
        <v>442689.64226273436</v>
      </c>
      <c r="I24" s="53">
        <f>I19+I22+I23</f>
        <v>508550.35984864988</v>
      </c>
      <c r="J24" s="53">
        <f>J19+J22+J23</f>
        <v>498341.96149838279</v>
      </c>
      <c r="K24" s="53">
        <f>SUM(H24:J24)</f>
        <v>1449581.9636097669</v>
      </c>
      <c r="L24" s="11"/>
      <c r="M24" s="11"/>
      <c r="N24" s="11"/>
      <c r="O24" s="11"/>
      <c r="P24" s="11"/>
      <c r="Q24" s="54"/>
    </row>
    <row r="25" spans="1:19" s="14" customFormat="1" ht="30" customHeight="1">
      <c r="A25" s="173" t="s">
        <v>6</v>
      </c>
      <c r="B25" s="174"/>
      <c r="C25" s="174"/>
      <c r="D25" s="174"/>
      <c r="E25" s="174"/>
      <c r="F25" s="175"/>
      <c r="G25" s="39" t="s">
        <v>36</v>
      </c>
      <c r="H25" s="82">
        <f>H11+H24</f>
        <v>2674474.7985127345</v>
      </c>
      <c r="I25" s="82">
        <f>I11+I24</f>
        <v>3292087.5381574733</v>
      </c>
      <c r="J25" s="82">
        <f>J11+J24</f>
        <v>3144503.3037223746</v>
      </c>
      <c r="K25" s="82">
        <f>K11+K24</f>
        <v>9111065.6403925829</v>
      </c>
      <c r="L25" s="13"/>
      <c r="M25" s="13"/>
      <c r="N25" s="13"/>
      <c r="O25" s="13"/>
      <c r="P25" s="13"/>
      <c r="Q25" s="92"/>
    </row>
    <row r="26" spans="1:19" s="77" customFormat="1" ht="30" customHeight="1">
      <c r="A26" s="173" t="s">
        <v>66</v>
      </c>
      <c r="B26" s="174"/>
      <c r="C26" s="174"/>
      <c r="D26" s="174"/>
      <c r="E26" s="174"/>
      <c r="F26" s="175"/>
      <c r="G26" s="84" t="s">
        <v>88</v>
      </c>
      <c r="H26" s="82">
        <f>H25*0.03</f>
        <v>80234.24395538203</v>
      </c>
      <c r="I26" s="82">
        <f>I25*0.03</f>
        <v>98762.6261447242</v>
      </c>
      <c r="J26" s="82">
        <f>J25*0.03</f>
        <v>94335.099111671239</v>
      </c>
      <c r="K26" s="82">
        <f>K25*0.03</f>
        <v>273331.9692117775</v>
      </c>
      <c r="L26" s="82">
        <f t="shared" ref="L26:P26" si="8">L25*0.035</f>
        <v>0</v>
      </c>
      <c r="M26" s="82">
        <f t="shared" si="8"/>
        <v>0</v>
      </c>
      <c r="N26" s="82">
        <f t="shared" si="8"/>
        <v>0</v>
      </c>
      <c r="O26" s="82">
        <f t="shared" si="8"/>
        <v>0</v>
      </c>
      <c r="P26" s="82">
        <f t="shared" si="8"/>
        <v>0</v>
      </c>
      <c r="Q26" s="92" t="s">
        <v>87</v>
      </c>
    </row>
    <row r="27" spans="1:19" s="77" customFormat="1" ht="30" customHeight="1">
      <c r="A27" s="173" t="s">
        <v>67</v>
      </c>
      <c r="B27" s="174"/>
      <c r="C27" s="174"/>
      <c r="D27" s="174"/>
      <c r="E27" s="174"/>
      <c r="F27" s="175"/>
      <c r="G27" s="84" t="s">
        <v>68</v>
      </c>
      <c r="H27" s="82">
        <f t="shared" ref="H27:K27" si="9">(H25+H26)*0.05</f>
        <v>137735.45212340585</v>
      </c>
      <c r="I27" s="82">
        <f t="shared" si="9"/>
        <v>169542.50821510988</v>
      </c>
      <c r="J27" s="82">
        <f t="shared" si="9"/>
        <v>161941.92014170229</v>
      </c>
      <c r="K27" s="82">
        <f t="shared" si="9"/>
        <v>469219.88048021804</v>
      </c>
      <c r="L27" s="78"/>
      <c r="M27" s="78"/>
      <c r="N27" s="78"/>
      <c r="O27" s="78"/>
      <c r="P27" s="78"/>
      <c r="Q27" s="92" t="s">
        <v>90</v>
      </c>
    </row>
    <row r="28" spans="1:19" s="14" customFormat="1" ht="30" customHeight="1">
      <c r="A28" s="176" t="s">
        <v>7</v>
      </c>
      <c r="B28" s="177"/>
      <c r="C28" s="177"/>
      <c r="D28" s="177"/>
      <c r="E28" s="177"/>
      <c r="F28" s="178"/>
      <c r="G28" s="40" t="s">
        <v>38</v>
      </c>
      <c r="H28" s="85">
        <f t="shared" ref="H28:P28" si="10">SUM(H25:H27)</f>
        <v>2892444.4945915225</v>
      </c>
      <c r="I28" s="85">
        <f t="shared" si="10"/>
        <v>3560392.6725173071</v>
      </c>
      <c r="J28" s="85">
        <f t="shared" si="10"/>
        <v>3400780.3229757482</v>
      </c>
      <c r="K28" s="85">
        <f t="shared" si="10"/>
        <v>9853617.4900845792</v>
      </c>
      <c r="L28" s="85">
        <f t="shared" si="10"/>
        <v>0</v>
      </c>
      <c r="M28" s="85">
        <f t="shared" si="10"/>
        <v>0</v>
      </c>
      <c r="N28" s="85">
        <f t="shared" si="10"/>
        <v>0</v>
      </c>
      <c r="O28" s="85">
        <f t="shared" si="10"/>
        <v>0</v>
      </c>
      <c r="P28" s="85">
        <f t="shared" si="10"/>
        <v>0</v>
      </c>
      <c r="Q28" s="29"/>
    </row>
    <row r="29" spans="1:19" s="14" customFormat="1" ht="30" customHeight="1">
      <c r="A29" s="176" t="s">
        <v>8</v>
      </c>
      <c r="B29" s="177"/>
      <c r="C29" s="177"/>
      <c r="D29" s="177"/>
      <c r="E29" s="177"/>
      <c r="F29" s="178"/>
      <c r="G29" s="40" t="s">
        <v>39</v>
      </c>
      <c r="H29" s="85">
        <f>H28*0.1</f>
        <v>289244.44945915224</v>
      </c>
      <c r="I29" s="85">
        <f>I28*0.1</f>
        <v>356039.26725173072</v>
      </c>
      <c r="J29" s="68">
        <f>J28*0.1</f>
        <v>340078.03229757486</v>
      </c>
      <c r="K29" s="68">
        <f>K28*0.1</f>
        <v>985361.74900845799</v>
      </c>
      <c r="L29" s="15"/>
      <c r="M29" s="15"/>
      <c r="N29" s="15"/>
      <c r="O29" s="15"/>
      <c r="P29" s="15"/>
      <c r="Q29" s="29"/>
    </row>
    <row r="30" spans="1:19" s="14" customFormat="1" ht="30" customHeight="1" thickBot="1">
      <c r="A30" s="179" t="s">
        <v>56</v>
      </c>
      <c r="B30" s="180"/>
      <c r="C30" s="180"/>
      <c r="D30" s="180"/>
      <c r="E30" s="180"/>
      <c r="F30" s="181"/>
      <c r="G30" s="41" t="s">
        <v>40</v>
      </c>
      <c r="H30" s="69">
        <f>H28+H29</f>
        <v>3181688.9440506748</v>
      </c>
      <c r="I30" s="69">
        <f>I28+I29</f>
        <v>3916431.939769038</v>
      </c>
      <c r="J30" s="70">
        <f>J28+J29</f>
        <v>3740858.3552733231</v>
      </c>
      <c r="K30" s="71">
        <f>K28+K29</f>
        <v>10838979.239093037</v>
      </c>
      <c r="L30" s="16"/>
      <c r="M30" s="16"/>
      <c r="N30" s="16"/>
      <c r="O30" s="16"/>
      <c r="P30" s="16"/>
      <c r="Q30" s="30"/>
    </row>
    <row r="31" spans="1:19" s="77" customFormat="1" ht="30" customHeight="1" thickBot="1">
      <c r="A31" s="182" t="s">
        <v>55</v>
      </c>
      <c r="B31" s="183"/>
      <c r="C31" s="183"/>
      <c r="D31" s="183"/>
      <c r="E31" s="183"/>
      <c r="F31" s="184"/>
      <c r="G31" s="64" t="s">
        <v>9</v>
      </c>
      <c r="H31" s="86">
        <f t="shared" ref="H31:K31" si="11">ROUNDDOWN(H30,-1)</f>
        <v>3181680</v>
      </c>
      <c r="I31" s="86">
        <f t="shared" si="11"/>
        <v>3916430</v>
      </c>
      <c r="J31" s="86">
        <f t="shared" si="11"/>
        <v>3740850</v>
      </c>
      <c r="K31" s="86">
        <f t="shared" si="11"/>
        <v>10838970</v>
      </c>
      <c r="L31" s="16"/>
      <c r="M31" s="16"/>
      <c r="N31" s="16"/>
      <c r="O31" s="16"/>
      <c r="P31" s="16"/>
      <c r="Q31" s="65" t="s">
        <v>54</v>
      </c>
    </row>
    <row r="32" spans="1:19" s="77" customFormat="1" ht="30" customHeight="1" thickBot="1">
      <c r="A32" s="170" t="s">
        <v>73</v>
      </c>
      <c r="B32" s="171"/>
      <c r="C32" s="171"/>
      <c r="D32" s="171"/>
      <c r="E32" s="171"/>
      <c r="F32" s="171"/>
      <c r="G32" s="172"/>
      <c r="H32" s="72">
        <f>(H31*12)</f>
        <v>38180160</v>
      </c>
      <c r="I32" s="72">
        <f>(I31*12)</f>
        <v>46997160</v>
      </c>
      <c r="J32" s="72">
        <f>(J31*12)</f>
        <v>44890200</v>
      </c>
      <c r="K32" s="73">
        <f>K31*12</f>
        <v>130067640</v>
      </c>
      <c r="L32" s="66"/>
      <c r="M32" s="66"/>
      <c r="N32" s="66"/>
      <c r="O32" s="66"/>
      <c r="P32" s="66"/>
      <c r="Q32" s="67"/>
    </row>
    <row r="33" spans="11:17" ht="59.25" customHeight="1">
      <c r="K33" s="55"/>
      <c r="Q33" s="74"/>
    </row>
    <row r="36" spans="11:17">
      <c r="K36" s="88"/>
    </row>
    <row r="37" spans="11:17">
      <c r="K37" s="88"/>
    </row>
    <row r="38" spans="11:17">
      <c r="K38" s="88"/>
    </row>
    <row r="52" spans="8:9" ht="15">
      <c r="H52" s="101">
        <v>16363636</v>
      </c>
      <c r="I52" s="87">
        <f>180000000*0.9</f>
        <v>162000000</v>
      </c>
    </row>
    <row r="53" spans="8:9" ht="16.5">
      <c r="H53" s="100">
        <v>163636364</v>
      </c>
    </row>
  </sheetData>
  <mergeCells count="38">
    <mergeCell ref="B23:F23"/>
    <mergeCell ref="A24:F24"/>
    <mergeCell ref="A32:G32"/>
    <mergeCell ref="A26:F26"/>
    <mergeCell ref="A27:F27"/>
    <mergeCell ref="A28:F28"/>
    <mergeCell ref="A29:F29"/>
    <mergeCell ref="A30:F30"/>
    <mergeCell ref="A31:F31"/>
    <mergeCell ref="A25:F25"/>
    <mergeCell ref="A12:A23"/>
    <mergeCell ref="B12:F12"/>
    <mergeCell ref="B13:F13"/>
    <mergeCell ref="B14:F14"/>
    <mergeCell ref="B18:F18"/>
    <mergeCell ref="B19:F19"/>
    <mergeCell ref="B15:F15"/>
    <mergeCell ref="B16:F16"/>
    <mergeCell ref="B17:F17"/>
    <mergeCell ref="B20:F20"/>
    <mergeCell ref="B22:F22"/>
    <mergeCell ref="B21:F21"/>
    <mergeCell ref="A5:A11"/>
    <mergeCell ref="B5:F5"/>
    <mergeCell ref="B6:F6"/>
    <mergeCell ref="B7:F7"/>
    <mergeCell ref="B8:F8"/>
    <mergeCell ref="B9:F9"/>
    <mergeCell ref="B10:F10"/>
    <mergeCell ref="B11:F11"/>
    <mergeCell ref="A1:Q1"/>
    <mergeCell ref="A3:F4"/>
    <mergeCell ref="G3:G4"/>
    <mergeCell ref="H3:H4"/>
    <mergeCell ref="I3:I4"/>
    <mergeCell ref="J3:J4"/>
    <mergeCell ref="K3:K4"/>
    <mergeCell ref="Q3:Q4"/>
  </mergeCells>
  <phoneticPr fontId="4" type="noConversion"/>
  <printOptions horizontalCentered="1"/>
  <pageMargins left="0.23622047244094491" right="0.23622047244094491" top="0.59055118110236227" bottom="0.39370078740157483" header="0.39370078740157483" footer="0.31496062992125984"/>
  <pageSetup paperSize="9" scale="57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V32"/>
  <sheetViews>
    <sheetView view="pageBreakPreview" topLeftCell="A4" zoomScaleNormal="100" zoomScaleSheetLayoutView="100" workbookViewId="0">
      <selection activeCell="K15" sqref="K15"/>
    </sheetView>
  </sheetViews>
  <sheetFormatPr defaultRowHeight="13.5"/>
  <cols>
    <col min="1" max="1" width="5.125" style="1" customWidth="1"/>
    <col min="2" max="4" width="2" style="1" customWidth="1"/>
    <col min="5" max="5" width="4.125" style="1" customWidth="1"/>
    <col min="6" max="6" width="10.25" style="1" customWidth="1"/>
    <col min="7" max="7" width="34.75" style="17" customWidth="1"/>
    <col min="8" max="11" width="18.75" style="87" customWidth="1"/>
    <col min="12" max="16" width="36" style="17" hidden="1" customWidth="1"/>
    <col min="17" max="17" width="57.25" style="1" customWidth="1"/>
    <col min="18" max="18" width="9" style="1"/>
    <col min="19" max="19" width="11.25" style="1" bestFit="1" customWidth="1"/>
    <col min="20" max="20" width="14.125" style="1" bestFit="1" customWidth="1"/>
    <col min="21" max="21" width="11.25" style="1" bestFit="1" customWidth="1"/>
    <col min="22" max="22" width="14.125" style="1" bestFit="1" customWidth="1"/>
    <col min="23" max="16384" width="9" style="1"/>
  </cols>
  <sheetData>
    <row r="1" spans="1:22" ht="25.5" customHeight="1">
      <c r="A1" s="111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3"/>
    </row>
    <row r="2" spans="1:22" s="77" customFormat="1" ht="11.25" customHeight="1" thickBot="1">
      <c r="A2" s="2"/>
      <c r="B2" s="2"/>
      <c r="C2" s="2"/>
      <c r="D2" s="2"/>
      <c r="E2" s="2"/>
      <c r="F2" s="2"/>
      <c r="G2" s="32"/>
      <c r="H2" s="2"/>
      <c r="I2" s="2"/>
      <c r="J2" s="2"/>
      <c r="K2" s="2"/>
      <c r="L2" s="3"/>
      <c r="M2" s="3"/>
      <c r="N2" s="3"/>
      <c r="O2" s="3"/>
      <c r="P2" s="3"/>
      <c r="Q2" s="42"/>
    </row>
    <row r="3" spans="1:22" s="77" customFormat="1" ht="15" customHeight="1">
      <c r="A3" s="114" t="s">
        <v>0</v>
      </c>
      <c r="B3" s="115"/>
      <c r="C3" s="115"/>
      <c r="D3" s="115"/>
      <c r="E3" s="115"/>
      <c r="F3" s="116"/>
      <c r="G3" s="120" t="s">
        <v>16</v>
      </c>
      <c r="H3" s="120" t="s">
        <v>57</v>
      </c>
      <c r="I3" s="120" t="s">
        <v>59</v>
      </c>
      <c r="J3" s="123" t="s">
        <v>15</v>
      </c>
      <c r="K3" s="120" t="s">
        <v>17</v>
      </c>
      <c r="L3" s="4"/>
      <c r="M3" s="4"/>
      <c r="N3" s="4"/>
      <c r="O3" s="4"/>
      <c r="P3" s="4"/>
      <c r="Q3" s="125" t="s">
        <v>19</v>
      </c>
    </row>
    <row r="4" spans="1:22" s="77" customFormat="1" ht="15" customHeight="1">
      <c r="A4" s="117"/>
      <c r="B4" s="118"/>
      <c r="C4" s="118"/>
      <c r="D4" s="118"/>
      <c r="E4" s="118"/>
      <c r="F4" s="119"/>
      <c r="G4" s="121"/>
      <c r="H4" s="122"/>
      <c r="I4" s="122"/>
      <c r="J4" s="124"/>
      <c r="K4" s="122"/>
      <c r="L4" s="5"/>
      <c r="M4" s="5"/>
      <c r="N4" s="5"/>
      <c r="O4" s="5"/>
      <c r="P4" s="5"/>
      <c r="Q4" s="126"/>
      <c r="S4" s="106">
        <v>84303</v>
      </c>
    </row>
    <row r="5" spans="1:22" s="77" customFormat="1" ht="30" customHeight="1">
      <c r="A5" s="127" t="s">
        <v>1</v>
      </c>
      <c r="B5" s="207" t="s">
        <v>41</v>
      </c>
      <c r="C5" s="207"/>
      <c r="D5" s="207"/>
      <c r="E5" s="207"/>
      <c r="F5" s="207"/>
      <c r="G5" s="60"/>
      <c r="H5" s="103">
        <v>10863</v>
      </c>
      <c r="I5" s="103">
        <v>10863</v>
      </c>
      <c r="J5" s="103">
        <v>10863</v>
      </c>
      <c r="K5" s="61">
        <f>SUM(H5:J5)</f>
        <v>32589</v>
      </c>
      <c r="L5" s="56"/>
      <c r="M5" s="56"/>
      <c r="N5" s="56"/>
      <c r="O5" s="56"/>
      <c r="P5" s="56"/>
      <c r="Q5" s="57" t="s">
        <v>84</v>
      </c>
      <c r="S5" s="107">
        <f>S4*1.03</f>
        <v>86832.09</v>
      </c>
      <c r="T5" s="107">
        <f>ROUNDUP(S5,-2)</f>
        <v>86900</v>
      </c>
    </row>
    <row r="6" spans="1:22" s="77" customFormat="1" ht="30" customHeight="1">
      <c r="A6" s="128"/>
      <c r="B6" s="131" t="s">
        <v>37</v>
      </c>
      <c r="C6" s="132"/>
      <c r="D6" s="132"/>
      <c r="E6" s="132"/>
      <c r="F6" s="133"/>
      <c r="G6" s="62" t="s">
        <v>52</v>
      </c>
      <c r="H6" s="7">
        <f>H5*157</f>
        <v>1705491</v>
      </c>
      <c r="I6" s="7">
        <f>I5*193</f>
        <v>2096559</v>
      </c>
      <c r="J6" s="7">
        <f>J5*183</f>
        <v>1987929</v>
      </c>
      <c r="K6" s="7">
        <f>SUM(H6:J6)</f>
        <v>5789979</v>
      </c>
      <c r="L6" s="6"/>
      <c r="M6" s="6"/>
      <c r="N6" s="6"/>
      <c r="O6" s="6"/>
      <c r="P6" s="6"/>
      <c r="Q6" s="22" t="s">
        <v>60</v>
      </c>
      <c r="S6" s="77">
        <f>H5/0.87745</f>
        <v>12380.192603567155</v>
      </c>
      <c r="T6" s="77">
        <f>T5/8</f>
        <v>10862.5</v>
      </c>
    </row>
    <row r="7" spans="1:22" s="77" customFormat="1" ht="30" customHeight="1">
      <c r="A7" s="128"/>
      <c r="B7" s="134" t="s">
        <v>49</v>
      </c>
      <c r="C7" s="135"/>
      <c r="D7" s="135"/>
      <c r="E7" s="135"/>
      <c r="F7" s="136"/>
      <c r="G7" s="96" t="s">
        <v>74</v>
      </c>
      <c r="H7" s="7">
        <f>(H6*0.5/12)</f>
        <v>71062.125</v>
      </c>
      <c r="I7" s="7">
        <f>(I6*0.5/12)</f>
        <v>87356.625</v>
      </c>
      <c r="J7" s="7">
        <f>(J6*0.5/12)</f>
        <v>82830.375</v>
      </c>
      <c r="K7" s="7">
        <f>SUM(H7:J7)</f>
        <v>241249.125</v>
      </c>
      <c r="L7" s="6"/>
      <c r="M7" s="6"/>
      <c r="N7" s="6"/>
      <c r="O7" s="6"/>
      <c r="P7" s="6"/>
      <c r="Q7" s="22"/>
      <c r="T7" s="77">
        <f>T6*100/87.745</f>
        <v>12379.622770528234</v>
      </c>
    </row>
    <row r="8" spans="1:22" s="77" customFormat="1" ht="30" customHeight="1">
      <c r="A8" s="128"/>
      <c r="B8" s="137" t="s">
        <v>61</v>
      </c>
      <c r="C8" s="138"/>
      <c r="D8" s="138"/>
      <c r="E8" s="138"/>
      <c r="F8" s="139"/>
      <c r="G8" s="96" t="s">
        <v>75</v>
      </c>
      <c r="H8" s="7">
        <f>((H6+H7)/157*6*11/12)</f>
        <v>62235.9375</v>
      </c>
      <c r="I8" s="7">
        <f>((I6+I7)/170*6*11/12)</f>
        <v>70656.09375</v>
      </c>
      <c r="J8" s="7">
        <f>((J6+J7)/157*6*11/12)</f>
        <v>72542.525875796171</v>
      </c>
      <c r="K8" s="7">
        <f>SUM(H8:J8)</f>
        <v>205434.55712579616</v>
      </c>
      <c r="L8" s="8"/>
      <c r="M8" s="8"/>
      <c r="N8" s="8"/>
      <c r="O8" s="8"/>
      <c r="P8" s="8"/>
      <c r="Q8" s="22"/>
    </row>
    <row r="9" spans="1:22" s="77" customFormat="1" ht="30" customHeight="1">
      <c r="A9" s="128"/>
      <c r="B9" s="140" t="s">
        <v>22</v>
      </c>
      <c r="C9" s="141"/>
      <c r="D9" s="141"/>
      <c r="E9" s="141"/>
      <c r="F9" s="142"/>
      <c r="G9" s="33" t="s">
        <v>50</v>
      </c>
      <c r="H9" s="10">
        <f t="shared" ref="H9:J9" si="0">SUM(H6:H8)</f>
        <v>1838789.0625</v>
      </c>
      <c r="I9" s="10">
        <f t="shared" si="0"/>
        <v>2254571.71875</v>
      </c>
      <c r="J9" s="10">
        <f t="shared" si="0"/>
        <v>2143301.9008757961</v>
      </c>
      <c r="K9" s="10">
        <f>SUM(K6:P8)</f>
        <v>6236662.6821257966</v>
      </c>
      <c r="L9" s="9"/>
      <c r="M9" s="9"/>
      <c r="N9" s="9"/>
      <c r="O9" s="9"/>
      <c r="P9" s="9"/>
      <c r="Q9" s="23"/>
    </row>
    <row r="10" spans="1:22" s="77" customFormat="1" ht="30" customHeight="1">
      <c r="A10" s="128"/>
      <c r="B10" s="143" t="s">
        <v>12</v>
      </c>
      <c r="C10" s="144"/>
      <c r="D10" s="144"/>
      <c r="E10" s="144"/>
      <c r="F10" s="145"/>
      <c r="G10" s="34" t="s">
        <v>76</v>
      </c>
      <c r="H10" s="7">
        <f>(H9/12)</f>
        <v>153232.421875</v>
      </c>
      <c r="I10" s="7">
        <f>(I9/12)</f>
        <v>187880.9765625</v>
      </c>
      <c r="J10" s="31">
        <f>(J9/12)</f>
        <v>178608.49173964967</v>
      </c>
      <c r="K10" s="31">
        <f>SUM(H10:J10)</f>
        <v>519721.89017714967</v>
      </c>
      <c r="L10" s="78"/>
      <c r="M10" s="78"/>
      <c r="N10" s="78"/>
      <c r="O10" s="78"/>
      <c r="P10" s="78"/>
      <c r="Q10" s="24"/>
    </row>
    <row r="11" spans="1:22" s="77" customFormat="1" ht="30" customHeight="1">
      <c r="A11" s="129"/>
      <c r="B11" s="146" t="s">
        <v>2</v>
      </c>
      <c r="C11" s="147"/>
      <c r="D11" s="147"/>
      <c r="E11" s="147"/>
      <c r="F11" s="148"/>
      <c r="G11" s="35" t="s">
        <v>51</v>
      </c>
      <c r="H11" s="12">
        <f>H9+H10</f>
        <v>1992021.484375</v>
      </c>
      <c r="I11" s="12">
        <f t="shared" ref="I11:K11" si="1">I9+I10</f>
        <v>2442452.6953125</v>
      </c>
      <c r="J11" s="12">
        <f t="shared" si="1"/>
        <v>2321910.3926154459</v>
      </c>
      <c r="K11" s="12">
        <f t="shared" si="1"/>
        <v>6756384.5723029459</v>
      </c>
      <c r="L11" s="11"/>
      <c r="M11" s="11"/>
      <c r="N11" s="11"/>
      <c r="O11" s="11"/>
      <c r="P11" s="11"/>
      <c r="Q11" s="25"/>
    </row>
    <row r="12" spans="1:22" s="19" customFormat="1" ht="30" customHeight="1">
      <c r="A12" s="204" t="s">
        <v>3</v>
      </c>
      <c r="B12" s="188" t="s">
        <v>4</v>
      </c>
      <c r="C12" s="189"/>
      <c r="D12" s="189"/>
      <c r="E12" s="189"/>
      <c r="F12" s="190"/>
      <c r="G12" s="105" t="s">
        <v>81</v>
      </c>
      <c r="H12" s="18">
        <f>H9*3.545%</f>
        <v>65185.072265625007</v>
      </c>
      <c r="I12" s="18">
        <f>I9*3.545%</f>
        <v>79924.567429687508</v>
      </c>
      <c r="J12" s="18">
        <f>J9*3.545%</f>
        <v>75980.052386046984</v>
      </c>
      <c r="K12" s="18">
        <f>K9*3.545%</f>
        <v>221089.69208135951</v>
      </c>
      <c r="L12" s="13"/>
      <c r="M12" s="13"/>
      <c r="N12" s="13"/>
      <c r="O12" s="13"/>
      <c r="P12" s="13"/>
      <c r="Q12" s="26" t="s">
        <v>45</v>
      </c>
      <c r="S12" s="102">
        <f>K12*12</f>
        <v>2653076.3049763143</v>
      </c>
      <c r="T12" s="102">
        <f>S12*100/87.745</f>
        <v>3023621.0667004548</v>
      </c>
      <c r="U12" s="102">
        <f>200770*12</f>
        <v>2409240</v>
      </c>
      <c r="V12" s="102">
        <f>U12*100/87.745</f>
        <v>2745729.1013732976</v>
      </c>
    </row>
    <row r="13" spans="1:22" s="19" customFormat="1" ht="30" customHeight="1">
      <c r="A13" s="205"/>
      <c r="B13" s="191" t="s">
        <v>18</v>
      </c>
      <c r="C13" s="192"/>
      <c r="D13" s="192"/>
      <c r="E13" s="192"/>
      <c r="F13" s="193"/>
      <c r="G13" s="36" t="s">
        <v>69</v>
      </c>
      <c r="H13" s="18">
        <f t="shared" ref="H13:K13" si="2">H9*4.5%</f>
        <v>82745.5078125</v>
      </c>
      <c r="I13" s="18">
        <f t="shared" si="2"/>
        <v>101455.72734375</v>
      </c>
      <c r="J13" s="18">
        <f t="shared" si="2"/>
        <v>96448.585539410822</v>
      </c>
      <c r="K13" s="18">
        <f t="shared" si="2"/>
        <v>280649.82069566083</v>
      </c>
      <c r="L13" s="18">
        <f t="shared" ref="L13:P13" si="3">L9*5.5%</f>
        <v>0</v>
      </c>
      <c r="M13" s="18">
        <f t="shared" si="3"/>
        <v>0</v>
      </c>
      <c r="N13" s="18">
        <f t="shared" si="3"/>
        <v>0</v>
      </c>
      <c r="O13" s="18">
        <f t="shared" si="3"/>
        <v>0</v>
      </c>
      <c r="P13" s="18">
        <f t="shared" si="3"/>
        <v>0</v>
      </c>
      <c r="Q13" s="26" t="s">
        <v>21</v>
      </c>
      <c r="S13" s="102">
        <f t="shared" ref="S13:S18" si="4">K13*12</f>
        <v>3367797.8483479302</v>
      </c>
      <c r="T13" s="102">
        <f t="shared" ref="T13:T18" si="5">S13*100/87.745</f>
        <v>3838164.9647819591</v>
      </c>
    </row>
    <row r="14" spans="1:22" s="19" customFormat="1" ht="30" customHeight="1">
      <c r="A14" s="205"/>
      <c r="B14" s="149" t="s">
        <v>13</v>
      </c>
      <c r="C14" s="150"/>
      <c r="D14" s="150"/>
      <c r="E14" s="150"/>
      <c r="F14" s="151"/>
      <c r="G14" s="104" t="s">
        <v>80</v>
      </c>
      <c r="H14" s="20">
        <f>H9*0.9%</f>
        <v>16549.101562500004</v>
      </c>
      <c r="I14" s="20">
        <f>I9*0.9%</f>
        <v>20291.145468750001</v>
      </c>
      <c r="J14" s="20">
        <f>J9*0.9%</f>
        <v>19289.717107882167</v>
      </c>
      <c r="K14" s="20">
        <f>K9*0.9%</f>
        <v>56129.964139132178</v>
      </c>
      <c r="L14" s="13"/>
      <c r="M14" s="13"/>
      <c r="N14" s="13"/>
      <c r="O14" s="13"/>
      <c r="P14" s="13"/>
      <c r="Q14" s="27" t="s">
        <v>44</v>
      </c>
      <c r="S14" s="102">
        <f t="shared" si="4"/>
        <v>673559.56966958614</v>
      </c>
      <c r="T14" s="102">
        <f t="shared" si="5"/>
        <v>767632.99295639188</v>
      </c>
    </row>
    <row r="15" spans="1:22" s="19" customFormat="1" ht="30" customHeight="1">
      <c r="A15" s="205"/>
      <c r="B15" s="149" t="s">
        <v>14</v>
      </c>
      <c r="C15" s="150"/>
      <c r="D15" s="150"/>
      <c r="E15" s="150"/>
      <c r="F15" s="151"/>
      <c r="G15" s="104" t="s">
        <v>80</v>
      </c>
      <c r="H15" s="20">
        <f>H9*0.9%</f>
        <v>16549.101562500004</v>
      </c>
      <c r="I15" s="20">
        <f>I9*0.9%</f>
        <v>20291.145468750001</v>
      </c>
      <c r="J15" s="20">
        <f>J9*0.9%</f>
        <v>19289.717107882167</v>
      </c>
      <c r="K15" s="20">
        <f>K9*0.9%</f>
        <v>56129.964139132178</v>
      </c>
      <c r="L15" s="13"/>
      <c r="M15" s="13"/>
      <c r="N15" s="13"/>
      <c r="O15" s="13"/>
      <c r="P15" s="13"/>
      <c r="Q15" s="27" t="s">
        <v>43</v>
      </c>
      <c r="S15" s="102">
        <f t="shared" si="4"/>
        <v>673559.56966958614</v>
      </c>
      <c r="T15" s="102">
        <f t="shared" si="5"/>
        <v>767632.99295639188</v>
      </c>
    </row>
    <row r="16" spans="1:22" s="19" customFormat="1" ht="30" customHeight="1">
      <c r="A16" s="205"/>
      <c r="B16" s="152" t="s">
        <v>5</v>
      </c>
      <c r="C16" s="153"/>
      <c r="D16" s="153"/>
      <c r="E16" s="153"/>
      <c r="F16" s="154"/>
      <c r="G16" s="104" t="s">
        <v>82</v>
      </c>
      <c r="H16" s="20">
        <f>H12*12.81%</f>
        <v>8350.2077572265625</v>
      </c>
      <c r="I16" s="20">
        <f>I12*12.81%</f>
        <v>10238.33708774297</v>
      </c>
      <c r="J16" s="20">
        <f>J12*12.81%</f>
        <v>9733.0447106526171</v>
      </c>
      <c r="K16" s="20">
        <f>K12*12.81%</f>
        <v>28321.589555622151</v>
      </c>
      <c r="L16" s="13"/>
      <c r="M16" s="13"/>
      <c r="N16" s="13"/>
      <c r="O16" s="13"/>
      <c r="P16" s="13"/>
      <c r="Q16" s="27" t="s">
        <v>20</v>
      </c>
      <c r="S16" s="102">
        <f t="shared" si="4"/>
        <v>339859.07466746581</v>
      </c>
      <c r="T16" s="102">
        <f t="shared" si="5"/>
        <v>387325.85864432825</v>
      </c>
    </row>
    <row r="17" spans="1:20" s="19" customFormat="1" ht="30" customHeight="1">
      <c r="A17" s="205"/>
      <c r="B17" s="155" t="s">
        <v>10</v>
      </c>
      <c r="C17" s="156"/>
      <c r="D17" s="156"/>
      <c r="E17" s="156"/>
      <c r="F17" s="157"/>
      <c r="G17" s="37" t="s">
        <v>42</v>
      </c>
      <c r="H17" s="20">
        <f t="shared" ref="H17:I17" si="6">H9*0.06%</f>
        <v>1103.2734375</v>
      </c>
      <c r="I17" s="20">
        <f t="shared" si="6"/>
        <v>1352.7430312499998</v>
      </c>
      <c r="J17" s="20">
        <f>J9*0.06%</f>
        <v>1285.9811405254775</v>
      </c>
      <c r="K17" s="20">
        <f>K9*0.06%</f>
        <v>3741.9976092754778</v>
      </c>
      <c r="L17" s="13"/>
      <c r="M17" s="13"/>
      <c r="N17" s="13"/>
      <c r="O17" s="13"/>
      <c r="P17" s="13"/>
      <c r="Q17" s="27" t="s">
        <v>46</v>
      </c>
      <c r="S17" s="102">
        <f t="shared" si="4"/>
        <v>44903.971311305737</v>
      </c>
      <c r="T17" s="102">
        <f t="shared" si="5"/>
        <v>51175.53286375945</v>
      </c>
    </row>
    <row r="18" spans="1:20" s="19" customFormat="1" ht="30" customHeight="1">
      <c r="A18" s="205"/>
      <c r="B18" s="197" t="s">
        <v>47</v>
      </c>
      <c r="C18" s="198"/>
      <c r="D18" s="198"/>
      <c r="E18" s="198"/>
      <c r="F18" s="199"/>
      <c r="G18" s="80" t="s">
        <v>48</v>
      </c>
      <c r="H18" s="50">
        <f>H9*0.003%</f>
        <v>55.163671874999999</v>
      </c>
      <c r="I18" s="50">
        <f t="shared" ref="I18:K18" si="7">I9*0.003%</f>
        <v>67.637151562500009</v>
      </c>
      <c r="J18" s="50">
        <f t="shared" si="7"/>
        <v>64.299057026273886</v>
      </c>
      <c r="K18" s="50">
        <f t="shared" si="7"/>
        <v>187.0998804637739</v>
      </c>
      <c r="L18" s="13"/>
      <c r="M18" s="13"/>
      <c r="N18" s="13"/>
      <c r="O18" s="13"/>
      <c r="P18" s="13"/>
      <c r="Q18" s="58" t="s">
        <v>53</v>
      </c>
      <c r="S18" s="102">
        <f t="shared" si="4"/>
        <v>2245.198565565287</v>
      </c>
      <c r="T18" s="102">
        <f t="shared" si="5"/>
        <v>2558.7766431879731</v>
      </c>
    </row>
    <row r="19" spans="1:20" s="77" customFormat="1" ht="30" customHeight="1">
      <c r="A19" s="205"/>
      <c r="B19" s="158" t="s">
        <v>33</v>
      </c>
      <c r="C19" s="159"/>
      <c r="D19" s="159"/>
      <c r="E19" s="159"/>
      <c r="F19" s="160"/>
      <c r="G19" s="38"/>
      <c r="H19" s="12">
        <f t="shared" ref="H19:K19" si="8">SUM(H12:H18)</f>
        <v>190537.42806972656</v>
      </c>
      <c r="I19" s="12">
        <f t="shared" si="8"/>
        <v>233621.30298149298</v>
      </c>
      <c r="J19" s="12">
        <f t="shared" si="8"/>
        <v>222091.39704942651</v>
      </c>
      <c r="K19" s="12">
        <f t="shared" si="8"/>
        <v>646250.12810064619</v>
      </c>
      <c r="L19" s="11"/>
      <c r="M19" s="11"/>
      <c r="N19" s="11"/>
      <c r="O19" s="11"/>
      <c r="P19" s="11"/>
      <c r="Q19" s="28"/>
    </row>
    <row r="20" spans="1:20" s="19" customFormat="1" ht="30" customHeight="1">
      <c r="A20" s="205"/>
      <c r="B20" s="152" t="s">
        <v>32</v>
      </c>
      <c r="C20" s="153"/>
      <c r="D20" s="153"/>
      <c r="E20" s="153"/>
      <c r="F20" s="154"/>
      <c r="G20" s="80" t="s">
        <v>78</v>
      </c>
      <c r="H20" s="50">
        <f>(65000*2*3/12)</f>
        <v>32500</v>
      </c>
      <c r="I20" s="50">
        <f>(65000*2*3/12)</f>
        <v>32500</v>
      </c>
      <c r="J20" s="50">
        <f>(65000*2*3/12)</f>
        <v>32500</v>
      </c>
      <c r="K20" s="51">
        <f>SUM(H20:J20)</f>
        <v>97500</v>
      </c>
      <c r="L20" s="13"/>
      <c r="M20" s="13"/>
      <c r="N20" s="13"/>
      <c r="O20" s="13"/>
      <c r="P20" s="13"/>
      <c r="Q20" s="79" t="s">
        <v>65</v>
      </c>
    </row>
    <row r="21" spans="1:20" s="19" customFormat="1" ht="30" customHeight="1">
      <c r="A21" s="205"/>
      <c r="B21" s="152" t="s">
        <v>86</v>
      </c>
      <c r="C21" s="153"/>
      <c r="D21" s="153"/>
      <c r="E21" s="153"/>
      <c r="F21" s="154"/>
      <c r="G21" s="80" t="s">
        <v>79</v>
      </c>
      <c r="H21" s="98">
        <v>100000</v>
      </c>
      <c r="I21" s="98">
        <v>100000</v>
      </c>
      <c r="J21" s="98">
        <v>100000</v>
      </c>
      <c r="K21" s="99">
        <f>SUM(H21:J21)</f>
        <v>300000</v>
      </c>
      <c r="L21" s="13"/>
      <c r="M21" s="13"/>
      <c r="N21" s="13"/>
      <c r="O21" s="13"/>
      <c r="P21" s="13"/>
      <c r="Q21" s="81"/>
    </row>
    <row r="22" spans="1:20" s="77" customFormat="1" ht="30" customHeight="1">
      <c r="A22" s="205"/>
      <c r="B22" s="158" t="s">
        <v>34</v>
      </c>
      <c r="C22" s="159"/>
      <c r="D22" s="159"/>
      <c r="E22" s="159"/>
      <c r="F22" s="160"/>
      <c r="G22" s="38"/>
      <c r="H22" s="12">
        <f>SUM(H20:H21)</f>
        <v>132500</v>
      </c>
      <c r="I22" s="12">
        <f>SUM(I20:I21)</f>
        <v>132500</v>
      </c>
      <c r="J22" s="12">
        <f>SUM(J20:J21)</f>
        <v>132500</v>
      </c>
      <c r="K22" s="12">
        <f>SUM(K20:P21)</f>
        <v>397500</v>
      </c>
      <c r="L22" s="11"/>
      <c r="M22" s="11"/>
      <c r="N22" s="11"/>
      <c r="O22" s="11"/>
      <c r="P22" s="11"/>
      <c r="Q22" s="28"/>
    </row>
    <row r="23" spans="1:20" s="77" customFormat="1" ht="30" customHeight="1">
      <c r="A23" s="206"/>
      <c r="B23" s="200" t="s">
        <v>64</v>
      </c>
      <c r="C23" s="201"/>
      <c r="D23" s="201"/>
      <c r="E23" s="201"/>
      <c r="F23" s="202"/>
      <c r="G23" s="52" t="s">
        <v>62</v>
      </c>
      <c r="H23" s="75">
        <f>(H6+H7)/157*6*15/12</f>
        <v>84867.1875</v>
      </c>
      <c r="I23" s="75">
        <f>(I6+I7)/170*6*15/12</f>
        <v>96349.21875</v>
      </c>
      <c r="J23" s="75">
        <f>(J6+J7)/157*6*15/12</f>
        <v>98921.626194267519</v>
      </c>
      <c r="K23" s="75">
        <f>SUM(H23:J23)</f>
        <v>280138.03244426753</v>
      </c>
      <c r="L23" s="11"/>
      <c r="M23" s="11"/>
      <c r="N23" s="11"/>
      <c r="O23" s="11"/>
      <c r="P23" s="11"/>
      <c r="Q23" s="97" t="s">
        <v>70</v>
      </c>
    </row>
    <row r="24" spans="1:20" s="77" customFormat="1" ht="30" customHeight="1">
      <c r="A24" s="203" t="s">
        <v>35</v>
      </c>
      <c r="B24" s="168"/>
      <c r="C24" s="168"/>
      <c r="D24" s="168"/>
      <c r="E24" s="168"/>
      <c r="F24" s="169"/>
      <c r="G24" s="52" t="s">
        <v>63</v>
      </c>
      <c r="H24" s="53">
        <f>H19+H22+H23</f>
        <v>407904.61556972656</v>
      </c>
      <c r="I24" s="53">
        <f>I19+I22+I23</f>
        <v>462470.52173149295</v>
      </c>
      <c r="J24" s="53">
        <f>J19+J22+J23</f>
        <v>453513.02324369404</v>
      </c>
      <c r="K24" s="53">
        <f>SUM(H24:J24)</f>
        <v>1323888.1605449135</v>
      </c>
      <c r="L24" s="11"/>
      <c r="M24" s="11"/>
      <c r="N24" s="11"/>
      <c r="O24" s="11"/>
      <c r="P24" s="11"/>
      <c r="Q24" s="54"/>
    </row>
    <row r="25" spans="1:20" s="14" customFormat="1" ht="30" customHeight="1">
      <c r="A25" s="173" t="s">
        <v>6</v>
      </c>
      <c r="B25" s="174"/>
      <c r="C25" s="174"/>
      <c r="D25" s="174"/>
      <c r="E25" s="174"/>
      <c r="F25" s="175"/>
      <c r="G25" s="39" t="s">
        <v>36</v>
      </c>
      <c r="H25" s="82">
        <f>H11+H24</f>
        <v>2399926.0999447266</v>
      </c>
      <c r="I25" s="82">
        <f>I11+I24</f>
        <v>2904923.2170439931</v>
      </c>
      <c r="J25" s="82">
        <f>J11+J24</f>
        <v>2775423.41585914</v>
      </c>
      <c r="K25" s="82">
        <f>K11+K24</f>
        <v>8080272.7328478592</v>
      </c>
      <c r="L25" s="13"/>
      <c r="M25" s="13"/>
      <c r="N25" s="13"/>
      <c r="O25" s="13"/>
      <c r="P25" s="13"/>
      <c r="Q25" s="63"/>
    </row>
    <row r="26" spans="1:20" s="77" customFormat="1" ht="30" customHeight="1">
      <c r="A26" s="173" t="s">
        <v>66</v>
      </c>
      <c r="B26" s="174"/>
      <c r="C26" s="174"/>
      <c r="D26" s="174"/>
      <c r="E26" s="174"/>
      <c r="F26" s="175"/>
      <c r="G26" s="84" t="s">
        <v>89</v>
      </c>
      <c r="H26" s="82">
        <f>H25*0.03</f>
        <v>71997.782998341791</v>
      </c>
      <c r="I26" s="82">
        <f>I25*0.03</f>
        <v>87147.696511319795</v>
      </c>
      <c r="J26" s="82">
        <f>J25*0.03</f>
        <v>83262.702475774204</v>
      </c>
      <c r="K26" s="82">
        <f>K25*0.03</f>
        <v>242408.18198543577</v>
      </c>
      <c r="L26" s="78"/>
      <c r="M26" s="78"/>
      <c r="N26" s="78"/>
      <c r="O26" s="78"/>
      <c r="P26" s="78"/>
      <c r="Q26" s="63" t="s">
        <v>91</v>
      </c>
    </row>
    <row r="27" spans="1:20" s="77" customFormat="1" ht="30" customHeight="1">
      <c r="A27" s="173" t="s">
        <v>67</v>
      </c>
      <c r="B27" s="174"/>
      <c r="C27" s="174"/>
      <c r="D27" s="174"/>
      <c r="E27" s="174"/>
      <c r="F27" s="175"/>
      <c r="G27" s="84" t="s">
        <v>68</v>
      </c>
      <c r="H27" s="82">
        <f t="shared" ref="H27:K27" si="9">(H25+H26)*0.05</f>
        <v>123596.19414715341</v>
      </c>
      <c r="I27" s="82">
        <f t="shared" si="9"/>
        <v>149603.54567776565</v>
      </c>
      <c r="J27" s="82">
        <f t="shared" si="9"/>
        <v>142934.30591674571</v>
      </c>
      <c r="K27" s="82">
        <f t="shared" si="9"/>
        <v>416134.04574166477</v>
      </c>
      <c r="L27" s="78"/>
      <c r="M27" s="78"/>
      <c r="N27" s="78"/>
      <c r="O27" s="78"/>
      <c r="P27" s="78"/>
      <c r="Q27" s="76" t="s">
        <v>92</v>
      </c>
    </row>
    <row r="28" spans="1:20" s="14" customFormat="1" ht="30" customHeight="1">
      <c r="A28" s="176" t="s">
        <v>7</v>
      </c>
      <c r="B28" s="177"/>
      <c r="C28" s="177"/>
      <c r="D28" s="177"/>
      <c r="E28" s="177"/>
      <c r="F28" s="178"/>
      <c r="G28" s="40" t="s">
        <v>38</v>
      </c>
      <c r="H28" s="85">
        <f t="shared" ref="H28:P28" si="10">SUM(H25:H27)</f>
        <v>2595520.0770902215</v>
      </c>
      <c r="I28" s="85">
        <f t="shared" si="10"/>
        <v>3141674.4592330786</v>
      </c>
      <c r="J28" s="85">
        <f t="shared" si="10"/>
        <v>3001620.4242516598</v>
      </c>
      <c r="K28" s="85">
        <f t="shared" si="10"/>
        <v>8738814.9605749603</v>
      </c>
      <c r="L28" s="85">
        <f t="shared" si="10"/>
        <v>0</v>
      </c>
      <c r="M28" s="85">
        <f t="shared" si="10"/>
        <v>0</v>
      </c>
      <c r="N28" s="85">
        <f t="shared" si="10"/>
        <v>0</v>
      </c>
      <c r="O28" s="85">
        <f t="shared" si="10"/>
        <v>0</v>
      </c>
      <c r="P28" s="85">
        <f t="shared" si="10"/>
        <v>0</v>
      </c>
      <c r="Q28" s="29"/>
    </row>
    <row r="29" spans="1:20" s="14" customFormat="1" ht="30" customHeight="1">
      <c r="A29" s="176" t="s">
        <v>8</v>
      </c>
      <c r="B29" s="177"/>
      <c r="C29" s="177"/>
      <c r="D29" s="177"/>
      <c r="E29" s="177"/>
      <c r="F29" s="178"/>
      <c r="G29" s="40" t="s">
        <v>39</v>
      </c>
      <c r="H29" s="85">
        <f>H28*0.1</f>
        <v>259552.00770902215</v>
      </c>
      <c r="I29" s="85">
        <f>I28*0.1</f>
        <v>314167.44592330785</v>
      </c>
      <c r="J29" s="68">
        <f>J28*0.1</f>
        <v>300162.042425166</v>
      </c>
      <c r="K29" s="68">
        <f>K28*0.1</f>
        <v>873881.49605749606</v>
      </c>
      <c r="L29" s="15"/>
      <c r="M29" s="15"/>
      <c r="N29" s="15"/>
      <c r="O29" s="15"/>
      <c r="P29" s="15"/>
      <c r="Q29" s="29"/>
    </row>
    <row r="30" spans="1:20" s="14" customFormat="1" ht="30" customHeight="1" thickBot="1">
      <c r="A30" s="179" t="s">
        <v>56</v>
      </c>
      <c r="B30" s="180"/>
      <c r="C30" s="180"/>
      <c r="D30" s="180"/>
      <c r="E30" s="180"/>
      <c r="F30" s="181"/>
      <c r="G30" s="41" t="s">
        <v>40</v>
      </c>
      <c r="H30" s="69">
        <f>H28+H29</f>
        <v>2855072.0847992436</v>
      </c>
      <c r="I30" s="69">
        <f>I28+I29</f>
        <v>3455841.9051563866</v>
      </c>
      <c r="J30" s="70">
        <f>J28+J29</f>
        <v>3301782.4666768257</v>
      </c>
      <c r="K30" s="71">
        <f>K28+K29</f>
        <v>9612696.4566324558</v>
      </c>
      <c r="L30" s="16"/>
      <c r="M30" s="16"/>
      <c r="N30" s="16"/>
      <c r="O30" s="16"/>
      <c r="P30" s="16"/>
      <c r="Q30" s="30"/>
    </row>
    <row r="31" spans="1:20" s="77" customFormat="1" ht="30" customHeight="1" thickBot="1">
      <c r="A31" s="182" t="s">
        <v>55</v>
      </c>
      <c r="B31" s="183"/>
      <c r="C31" s="183"/>
      <c r="D31" s="183"/>
      <c r="E31" s="183"/>
      <c r="F31" s="184"/>
      <c r="G31" s="64" t="s">
        <v>9</v>
      </c>
      <c r="H31" s="86">
        <f t="shared" ref="H31:K31" si="11">ROUNDDOWN(H30,-1)</f>
        <v>2855070</v>
      </c>
      <c r="I31" s="86">
        <f t="shared" si="11"/>
        <v>3455840</v>
      </c>
      <c r="J31" s="86">
        <f t="shared" si="11"/>
        <v>3301780</v>
      </c>
      <c r="K31" s="86">
        <f t="shared" si="11"/>
        <v>9612690</v>
      </c>
      <c r="L31" s="16"/>
      <c r="M31" s="16"/>
      <c r="N31" s="16"/>
      <c r="O31" s="16"/>
      <c r="P31" s="16"/>
      <c r="Q31" s="65" t="s">
        <v>54</v>
      </c>
    </row>
    <row r="32" spans="1:20" s="77" customFormat="1" ht="30" customHeight="1" thickBot="1">
      <c r="A32" s="170" t="s">
        <v>73</v>
      </c>
      <c r="B32" s="171"/>
      <c r="C32" s="171"/>
      <c r="D32" s="171"/>
      <c r="E32" s="171"/>
      <c r="F32" s="171"/>
      <c r="G32" s="172"/>
      <c r="H32" s="72">
        <f>(H31*12)</f>
        <v>34260840</v>
      </c>
      <c r="I32" s="72">
        <f>(I31*12)</f>
        <v>41470080</v>
      </c>
      <c r="J32" s="72">
        <f>(J31*12)</f>
        <v>39621360</v>
      </c>
      <c r="K32" s="73">
        <f>K31*12</f>
        <v>115352280</v>
      </c>
      <c r="L32" s="66"/>
      <c r="M32" s="66"/>
      <c r="N32" s="66"/>
      <c r="O32" s="66"/>
      <c r="P32" s="66"/>
      <c r="Q32" s="67">
        <f>K32*100/87.745</f>
        <v>131463080.51740839</v>
      </c>
    </row>
  </sheetData>
  <mergeCells count="38">
    <mergeCell ref="A32:G32"/>
    <mergeCell ref="B7:F7"/>
    <mergeCell ref="A26:F26"/>
    <mergeCell ref="A27:F27"/>
    <mergeCell ref="A28:F28"/>
    <mergeCell ref="A29:F29"/>
    <mergeCell ref="A30:F30"/>
    <mergeCell ref="A31:F31"/>
    <mergeCell ref="B22:F22"/>
    <mergeCell ref="A5:A11"/>
    <mergeCell ref="B5:F5"/>
    <mergeCell ref="B6:F6"/>
    <mergeCell ref="B8:F8"/>
    <mergeCell ref="B9:F9"/>
    <mergeCell ref="B10:F10"/>
    <mergeCell ref="B11:F11"/>
    <mergeCell ref="B23:F23"/>
    <mergeCell ref="A24:F24"/>
    <mergeCell ref="A25:F25"/>
    <mergeCell ref="A12:A23"/>
    <mergeCell ref="B12:F12"/>
    <mergeCell ref="B13:F13"/>
    <mergeCell ref="B14:F14"/>
    <mergeCell ref="B15:F15"/>
    <mergeCell ref="B16:F16"/>
    <mergeCell ref="B20:F20"/>
    <mergeCell ref="B21:F21"/>
    <mergeCell ref="B18:F18"/>
    <mergeCell ref="B19:F19"/>
    <mergeCell ref="B17:F17"/>
    <mergeCell ref="A1:Q1"/>
    <mergeCell ref="A3:F4"/>
    <mergeCell ref="G3:G4"/>
    <mergeCell ref="H3:H4"/>
    <mergeCell ref="I3:I4"/>
    <mergeCell ref="J3:J4"/>
    <mergeCell ref="K3:K4"/>
    <mergeCell ref="Q3:Q4"/>
  </mergeCells>
  <phoneticPr fontId="5" type="noConversion"/>
  <printOptions horizontalCentered="1"/>
  <pageMargins left="0.23622047244094491" right="0.23622047244094491" top="0.59055118110236227" bottom="0.39370078740157483" header="0.39370078740157483" footer="0.31496062992125984"/>
  <pageSetup paperSize="9" scale="57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"/>
  <sheetViews>
    <sheetView workbookViewId="0">
      <selection activeCell="B11" sqref="B11"/>
    </sheetView>
  </sheetViews>
  <sheetFormatPr defaultRowHeight="16.5"/>
  <cols>
    <col min="1" max="1" width="11.25" customWidth="1"/>
    <col min="2" max="13" width="8.625" customWidth="1"/>
    <col min="14" max="14" width="7.5" customWidth="1"/>
    <col min="15" max="15" width="19.375" customWidth="1"/>
  </cols>
  <sheetData>
    <row r="1" spans="1:15" ht="29.25" customHeight="1">
      <c r="A1" s="208" t="s">
        <v>11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>
      <c r="A2" s="83" t="s">
        <v>83</v>
      </c>
      <c r="B2" s="21"/>
      <c r="C2" s="21"/>
    </row>
    <row r="3" spans="1:15">
      <c r="A3" s="21"/>
      <c r="B3" s="21"/>
      <c r="C3" s="21"/>
    </row>
    <row r="4" spans="1:15">
      <c r="A4" s="21" t="s">
        <v>31</v>
      </c>
    </row>
    <row r="5" spans="1:15" ht="9" customHeight="1">
      <c r="A5" s="21"/>
    </row>
    <row r="6" spans="1:15">
      <c r="B6" s="43" t="s">
        <v>23</v>
      </c>
      <c r="C6" s="44">
        <v>365</v>
      </c>
      <c r="D6" s="45"/>
      <c r="E6" s="46"/>
      <c r="F6" s="46"/>
    </row>
    <row r="7" spans="1:15">
      <c r="B7" s="43" t="s">
        <v>24</v>
      </c>
      <c r="C7" s="47">
        <f>365/7</f>
        <v>52.142857142857146</v>
      </c>
      <c r="D7" s="45"/>
      <c r="E7" s="46"/>
      <c r="F7" s="46"/>
    </row>
    <row r="8" spans="1:15">
      <c r="B8" s="43" t="s">
        <v>25</v>
      </c>
      <c r="C8" s="47">
        <f>C7/12</f>
        <v>4.3452380952380958</v>
      </c>
      <c r="D8" s="45"/>
      <c r="E8" s="46"/>
      <c r="F8" s="46" t="s">
        <v>58</v>
      </c>
    </row>
    <row r="9" spans="1:15">
      <c r="B9" s="43" t="s">
        <v>26</v>
      </c>
      <c r="C9" s="43" t="s">
        <v>27</v>
      </c>
      <c r="D9" s="43" t="s">
        <v>28</v>
      </c>
      <c r="E9" s="43" t="s">
        <v>29</v>
      </c>
      <c r="F9" s="43" t="s">
        <v>30</v>
      </c>
    </row>
    <row r="10" spans="1:15">
      <c r="B10" s="49">
        <f>ROUNDUP(F10*$C$8,0)</f>
        <v>209</v>
      </c>
      <c r="C10" s="59">
        <v>8</v>
      </c>
      <c r="D10" s="59">
        <v>5</v>
      </c>
      <c r="E10" s="59">
        <f>SUM(C10*D10)</f>
        <v>40</v>
      </c>
      <c r="F10" s="59">
        <f>SUM(C10+E10)</f>
        <v>48</v>
      </c>
    </row>
    <row r="11" spans="1:15">
      <c r="B11" s="49">
        <f>ROUNDUP(F11*$C$8,0)</f>
        <v>183</v>
      </c>
      <c r="C11" s="48">
        <v>7</v>
      </c>
      <c r="D11" s="48">
        <v>5</v>
      </c>
      <c r="E11" s="48">
        <f t="shared" ref="E11:E14" si="0">SUM(C11*D11)</f>
        <v>35</v>
      </c>
      <c r="F11" s="48">
        <f t="shared" ref="F11:F13" si="1">SUM(C11+E11)</f>
        <v>42</v>
      </c>
    </row>
    <row r="12" spans="1:15">
      <c r="B12" s="49">
        <f t="shared" ref="B12:B15" si="2">ROUNDUP(F12*$C$8,0)</f>
        <v>157</v>
      </c>
      <c r="C12" s="59">
        <v>6</v>
      </c>
      <c r="D12" s="59">
        <v>5</v>
      </c>
      <c r="E12" s="59">
        <f>SUM(C12*D12)</f>
        <v>30</v>
      </c>
      <c r="F12" s="48">
        <f>SUM(C12+E12)</f>
        <v>36</v>
      </c>
    </row>
    <row r="13" spans="1:15">
      <c r="B13" s="49">
        <f t="shared" si="2"/>
        <v>131</v>
      </c>
      <c r="C13" s="48">
        <v>5</v>
      </c>
      <c r="D13" s="48">
        <v>5</v>
      </c>
      <c r="E13" s="48">
        <f t="shared" si="0"/>
        <v>25</v>
      </c>
      <c r="F13" s="48">
        <f t="shared" si="1"/>
        <v>30</v>
      </c>
    </row>
    <row r="14" spans="1:15">
      <c r="B14" s="49">
        <f t="shared" si="2"/>
        <v>170</v>
      </c>
      <c r="C14" s="48">
        <v>5.5</v>
      </c>
      <c r="D14" s="48">
        <v>6</v>
      </c>
      <c r="E14" s="48">
        <f t="shared" si="0"/>
        <v>33</v>
      </c>
      <c r="F14" s="48">
        <v>39</v>
      </c>
    </row>
    <row r="15" spans="1:15">
      <c r="B15" s="49">
        <f t="shared" si="2"/>
        <v>193</v>
      </c>
      <c r="C15" s="110">
        <v>6.33</v>
      </c>
      <c r="D15" s="48">
        <v>6</v>
      </c>
      <c r="E15" s="110">
        <f t="shared" ref="E15" si="3">SUM(C15*D15)</f>
        <v>37.980000000000004</v>
      </c>
      <c r="F15" s="110">
        <f>E15+C15</f>
        <v>44.31</v>
      </c>
    </row>
  </sheetData>
  <mergeCells count="1">
    <mergeCell ref="A1:O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산출내역서</vt:lpstr>
      <vt:lpstr>산출내역서(낙찰률 적용)</vt:lpstr>
      <vt:lpstr>근무일수</vt:lpstr>
      <vt:lpstr>산출내역서!Print_Area</vt:lpstr>
      <vt:lpstr>'산출내역서(낙찰률 적용)'!Print_Area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교육정보원</dc:creator>
  <cp:lastModifiedBy>USER</cp:lastModifiedBy>
  <cp:lastPrinted>2022-11-09T09:03:24Z</cp:lastPrinted>
  <dcterms:created xsi:type="dcterms:W3CDTF">2014-12-19T02:37:20Z</dcterms:created>
  <dcterms:modified xsi:type="dcterms:W3CDTF">2022-11-15T00:00:23Z</dcterms:modified>
</cp:coreProperties>
</file>